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/>
  <xr:revisionPtr revIDLastSave="0" documentId="13_ncr:1_{F9CA0053-F9EF-4B55-B657-34960BAE780F}" xr6:coauthVersionLast="45" xr6:coauthVersionMax="45" xr10:uidLastSave="{00000000-0000-0000-0000-000000000000}"/>
  <bookViews>
    <workbookView xWindow="22932" yWindow="-108" windowWidth="23256" windowHeight="14016" xr2:uid="{00000000-000D-0000-FFFF-FFFF00000000}"/>
  </bookViews>
  <sheets>
    <sheet name="Summary" sheetId="5" r:id="rId1"/>
    <sheet name="Range" sheetId="1" r:id="rId2"/>
    <sheet name="Cooktop" sheetId="2" r:id="rId3"/>
    <sheet name="Labor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2" l="1"/>
  <c r="D6" i="5" s="1"/>
  <c r="C4" i="2"/>
  <c r="M202" i="2"/>
  <c r="N202" i="2" s="1"/>
  <c r="L202" i="2"/>
  <c r="J202" i="2"/>
  <c r="D202" i="2"/>
  <c r="M201" i="2"/>
  <c r="N201" i="2" s="1"/>
  <c r="L201" i="2"/>
  <c r="J201" i="2"/>
  <c r="D201" i="2"/>
  <c r="M200" i="2"/>
  <c r="N200" i="2" s="1"/>
  <c r="L200" i="2"/>
  <c r="J200" i="2"/>
  <c r="D200" i="2"/>
  <c r="M199" i="2"/>
  <c r="N199" i="2" s="1"/>
  <c r="L199" i="2"/>
  <c r="J199" i="2"/>
  <c r="D199" i="2"/>
  <c r="M198" i="2"/>
  <c r="N198" i="2" s="1"/>
  <c r="L198" i="2"/>
  <c r="J198" i="2"/>
  <c r="D198" i="2"/>
  <c r="M197" i="2"/>
  <c r="N197" i="2" s="1"/>
  <c r="L197" i="2"/>
  <c r="J197" i="2"/>
  <c r="D197" i="2"/>
  <c r="M196" i="2"/>
  <c r="N196" i="2" s="1"/>
  <c r="L196" i="2"/>
  <c r="J196" i="2"/>
  <c r="D196" i="2"/>
  <c r="M195" i="2"/>
  <c r="N195" i="2" s="1"/>
  <c r="L195" i="2"/>
  <c r="J195" i="2"/>
  <c r="D195" i="2"/>
  <c r="M194" i="2"/>
  <c r="N194" i="2" s="1"/>
  <c r="L194" i="2"/>
  <c r="J194" i="2"/>
  <c r="D194" i="2"/>
  <c r="M193" i="2"/>
  <c r="N193" i="2" s="1"/>
  <c r="L193" i="2"/>
  <c r="J193" i="2"/>
  <c r="D193" i="2"/>
  <c r="M192" i="2"/>
  <c r="N192" i="2" s="1"/>
  <c r="L192" i="2"/>
  <c r="J192" i="2"/>
  <c r="D192" i="2"/>
  <c r="M191" i="2"/>
  <c r="N191" i="2" s="1"/>
  <c r="L191" i="2"/>
  <c r="J191" i="2"/>
  <c r="D191" i="2"/>
  <c r="M190" i="2"/>
  <c r="N190" i="2" s="1"/>
  <c r="L190" i="2"/>
  <c r="J190" i="2"/>
  <c r="D190" i="2"/>
  <c r="M189" i="2"/>
  <c r="N189" i="2" s="1"/>
  <c r="L189" i="2"/>
  <c r="J189" i="2"/>
  <c r="D189" i="2"/>
  <c r="M188" i="2"/>
  <c r="N188" i="2" s="1"/>
  <c r="L188" i="2"/>
  <c r="J188" i="2"/>
  <c r="D188" i="2"/>
  <c r="M187" i="2"/>
  <c r="N187" i="2" s="1"/>
  <c r="L187" i="2"/>
  <c r="J187" i="2"/>
  <c r="D187" i="2"/>
  <c r="M186" i="2"/>
  <c r="N186" i="2" s="1"/>
  <c r="L186" i="2"/>
  <c r="J186" i="2"/>
  <c r="D186" i="2"/>
  <c r="M185" i="2"/>
  <c r="N185" i="2" s="1"/>
  <c r="L185" i="2"/>
  <c r="J185" i="2"/>
  <c r="D185" i="2"/>
  <c r="M184" i="2"/>
  <c r="N184" i="2" s="1"/>
  <c r="L184" i="2"/>
  <c r="J184" i="2"/>
  <c r="D184" i="2"/>
  <c r="M183" i="2"/>
  <c r="N183" i="2" s="1"/>
  <c r="L183" i="2"/>
  <c r="J183" i="2"/>
  <c r="D183" i="2"/>
  <c r="M182" i="2"/>
  <c r="N182" i="2" s="1"/>
  <c r="L182" i="2"/>
  <c r="J182" i="2"/>
  <c r="D182" i="2"/>
  <c r="M181" i="2"/>
  <c r="N181" i="2" s="1"/>
  <c r="L181" i="2"/>
  <c r="J181" i="2"/>
  <c r="D181" i="2"/>
  <c r="M180" i="2"/>
  <c r="N180" i="2" s="1"/>
  <c r="L180" i="2"/>
  <c r="J180" i="2"/>
  <c r="D180" i="2"/>
  <c r="M179" i="2"/>
  <c r="N179" i="2" s="1"/>
  <c r="L179" i="2"/>
  <c r="J179" i="2"/>
  <c r="D179" i="2"/>
  <c r="M178" i="2"/>
  <c r="N178" i="2" s="1"/>
  <c r="L178" i="2"/>
  <c r="J178" i="2"/>
  <c r="D178" i="2"/>
  <c r="N177" i="2"/>
  <c r="M177" i="2"/>
  <c r="L177" i="2"/>
  <c r="J177" i="2"/>
  <c r="D177" i="2"/>
  <c r="M176" i="2"/>
  <c r="N176" i="2" s="1"/>
  <c r="L176" i="2"/>
  <c r="J176" i="2"/>
  <c r="D176" i="2"/>
  <c r="M175" i="2"/>
  <c r="N175" i="2" s="1"/>
  <c r="L175" i="2"/>
  <c r="J175" i="2"/>
  <c r="D175" i="2"/>
  <c r="M174" i="2"/>
  <c r="N174" i="2" s="1"/>
  <c r="L174" i="2"/>
  <c r="J174" i="2"/>
  <c r="D174" i="2"/>
  <c r="M173" i="2"/>
  <c r="N173" i="2" s="1"/>
  <c r="L173" i="2"/>
  <c r="J173" i="2"/>
  <c r="D173" i="2"/>
  <c r="M172" i="2"/>
  <c r="N172" i="2" s="1"/>
  <c r="L172" i="2"/>
  <c r="J172" i="2"/>
  <c r="D172" i="2"/>
  <c r="M171" i="2"/>
  <c r="N171" i="2" s="1"/>
  <c r="L171" i="2"/>
  <c r="J171" i="2"/>
  <c r="D171" i="2"/>
  <c r="M170" i="2"/>
  <c r="N170" i="2" s="1"/>
  <c r="L170" i="2"/>
  <c r="J170" i="2"/>
  <c r="D170" i="2"/>
  <c r="M169" i="2"/>
  <c r="N169" i="2" s="1"/>
  <c r="L169" i="2"/>
  <c r="J169" i="2"/>
  <c r="D169" i="2"/>
  <c r="M168" i="2"/>
  <c r="N168" i="2" s="1"/>
  <c r="L168" i="2"/>
  <c r="J168" i="2"/>
  <c r="D168" i="2"/>
  <c r="M167" i="2"/>
  <c r="N167" i="2" s="1"/>
  <c r="L167" i="2"/>
  <c r="J167" i="2"/>
  <c r="D167" i="2"/>
  <c r="M166" i="2"/>
  <c r="N166" i="2" s="1"/>
  <c r="L166" i="2"/>
  <c r="J166" i="2"/>
  <c r="D166" i="2"/>
  <c r="M165" i="2"/>
  <c r="N165" i="2" s="1"/>
  <c r="L165" i="2"/>
  <c r="J165" i="2"/>
  <c r="D165" i="2"/>
  <c r="M164" i="2"/>
  <c r="N164" i="2" s="1"/>
  <c r="L164" i="2"/>
  <c r="J164" i="2"/>
  <c r="D164" i="2"/>
  <c r="M163" i="2"/>
  <c r="N163" i="2" s="1"/>
  <c r="L163" i="2"/>
  <c r="J163" i="2"/>
  <c r="D163" i="2"/>
  <c r="M162" i="2"/>
  <c r="N162" i="2" s="1"/>
  <c r="L162" i="2"/>
  <c r="J162" i="2"/>
  <c r="D162" i="2"/>
  <c r="M161" i="2"/>
  <c r="N161" i="2" s="1"/>
  <c r="L161" i="2"/>
  <c r="J161" i="2"/>
  <c r="D161" i="2"/>
  <c r="M160" i="2"/>
  <c r="N160" i="2" s="1"/>
  <c r="L160" i="2"/>
  <c r="J160" i="2"/>
  <c r="D160" i="2"/>
  <c r="M159" i="2"/>
  <c r="N159" i="2" s="1"/>
  <c r="L159" i="2"/>
  <c r="J159" i="2"/>
  <c r="D159" i="2"/>
  <c r="M158" i="2"/>
  <c r="N158" i="2" s="1"/>
  <c r="L158" i="2"/>
  <c r="J158" i="2"/>
  <c r="D158" i="2"/>
  <c r="M157" i="2"/>
  <c r="N157" i="2" s="1"/>
  <c r="L157" i="2"/>
  <c r="J157" i="2"/>
  <c r="D157" i="2"/>
  <c r="M156" i="2"/>
  <c r="N156" i="2" s="1"/>
  <c r="L156" i="2"/>
  <c r="J156" i="2"/>
  <c r="D156" i="2"/>
  <c r="M155" i="2"/>
  <c r="N155" i="2" s="1"/>
  <c r="L155" i="2"/>
  <c r="J155" i="2"/>
  <c r="D155" i="2"/>
  <c r="M154" i="2"/>
  <c r="N154" i="2" s="1"/>
  <c r="L154" i="2"/>
  <c r="J154" i="2"/>
  <c r="D154" i="2"/>
  <c r="M153" i="2"/>
  <c r="N153" i="2" s="1"/>
  <c r="L153" i="2"/>
  <c r="J153" i="2"/>
  <c r="D153" i="2"/>
  <c r="M152" i="2"/>
  <c r="N152" i="2" s="1"/>
  <c r="L152" i="2"/>
  <c r="J152" i="2"/>
  <c r="D152" i="2"/>
  <c r="M151" i="2"/>
  <c r="N151" i="2" s="1"/>
  <c r="L151" i="2"/>
  <c r="J151" i="2"/>
  <c r="D151" i="2"/>
  <c r="M150" i="2"/>
  <c r="N150" i="2" s="1"/>
  <c r="L150" i="2"/>
  <c r="J150" i="2"/>
  <c r="D150" i="2"/>
  <c r="M149" i="2"/>
  <c r="N149" i="2" s="1"/>
  <c r="L149" i="2"/>
  <c r="J149" i="2"/>
  <c r="D149" i="2"/>
  <c r="M148" i="2"/>
  <c r="N148" i="2" s="1"/>
  <c r="L148" i="2"/>
  <c r="J148" i="2"/>
  <c r="D148" i="2"/>
  <c r="M147" i="2"/>
  <c r="N147" i="2" s="1"/>
  <c r="L147" i="2"/>
  <c r="J147" i="2"/>
  <c r="D147" i="2"/>
  <c r="M146" i="2"/>
  <c r="N146" i="2" s="1"/>
  <c r="L146" i="2"/>
  <c r="J146" i="2"/>
  <c r="D146" i="2"/>
  <c r="M145" i="2"/>
  <c r="N145" i="2" s="1"/>
  <c r="L145" i="2"/>
  <c r="J145" i="2"/>
  <c r="D145" i="2"/>
  <c r="M144" i="2"/>
  <c r="N144" i="2" s="1"/>
  <c r="L144" i="2"/>
  <c r="J144" i="2"/>
  <c r="D144" i="2"/>
  <c r="M143" i="2"/>
  <c r="N143" i="2" s="1"/>
  <c r="L143" i="2"/>
  <c r="J143" i="2"/>
  <c r="D143" i="2"/>
  <c r="M142" i="2"/>
  <c r="N142" i="2" s="1"/>
  <c r="L142" i="2"/>
  <c r="J142" i="2"/>
  <c r="D142" i="2"/>
  <c r="M141" i="2"/>
  <c r="N141" i="2" s="1"/>
  <c r="L141" i="2"/>
  <c r="J141" i="2"/>
  <c r="D141" i="2"/>
  <c r="M140" i="2"/>
  <c r="N140" i="2" s="1"/>
  <c r="L140" i="2"/>
  <c r="J140" i="2"/>
  <c r="D140" i="2"/>
  <c r="M139" i="2"/>
  <c r="N139" i="2" s="1"/>
  <c r="L139" i="2"/>
  <c r="J139" i="2"/>
  <c r="D139" i="2"/>
  <c r="M138" i="2"/>
  <c r="N138" i="2" s="1"/>
  <c r="L138" i="2"/>
  <c r="J138" i="2"/>
  <c r="D138" i="2"/>
  <c r="M137" i="2"/>
  <c r="N137" i="2" s="1"/>
  <c r="L137" i="2"/>
  <c r="J137" i="2"/>
  <c r="D137" i="2"/>
  <c r="M136" i="2"/>
  <c r="N136" i="2" s="1"/>
  <c r="L136" i="2"/>
  <c r="J136" i="2"/>
  <c r="D136" i="2"/>
  <c r="M135" i="2"/>
  <c r="N135" i="2" s="1"/>
  <c r="L135" i="2"/>
  <c r="J135" i="2"/>
  <c r="D135" i="2"/>
  <c r="M134" i="2"/>
  <c r="N134" i="2" s="1"/>
  <c r="L134" i="2"/>
  <c r="J134" i="2"/>
  <c r="D134" i="2"/>
  <c r="M133" i="2"/>
  <c r="N133" i="2" s="1"/>
  <c r="L133" i="2"/>
  <c r="J133" i="2"/>
  <c r="D133" i="2"/>
  <c r="M132" i="2"/>
  <c r="N132" i="2" s="1"/>
  <c r="L132" i="2"/>
  <c r="J132" i="2"/>
  <c r="D132" i="2"/>
  <c r="M131" i="2"/>
  <c r="N131" i="2" s="1"/>
  <c r="L131" i="2"/>
  <c r="J131" i="2"/>
  <c r="D131" i="2"/>
  <c r="M130" i="2"/>
  <c r="N130" i="2" s="1"/>
  <c r="L130" i="2"/>
  <c r="J130" i="2"/>
  <c r="D130" i="2"/>
  <c r="M129" i="2"/>
  <c r="N129" i="2" s="1"/>
  <c r="L129" i="2"/>
  <c r="J129" i="2"/>
  <c r="D129" i="2"/>
  <c r="M128" i="2"/>
  <c r="N128" i="2" s="1"/>
  <c r="L128" i="2"/>
  <c r="J128" i="2"/>
  <c r="D128" i="2"/>
  <c r="M127" i="2"/>
  <c r="N127" i="2" s="1"/>
  <c r="L127" i="2"/>
  <c r="J127" i="2"/>
  <c r="D127" i="2"/>
  <c r="M126" i="2"/>
  <c r="N126" i="2" s="1"/>
  <c r="L126" i="2"/>
  <c r="J126" i="2"/>
  <c r="D126" i="2"/>
  <c r="M125" i="2"/>
  <c r="N125" i="2" s="1"/>
  <c r="L125" i="2"/>
  <c r="J125" i="2"/>
  <c r="D125" i="2"/>
  <c r="M124" i="2"/>
  <c r="N124" i="2" s="1"/>
  <c r="L124" i="2"/>
  <c r="J124" i="2"/>
  <c r="D124" i="2"/>
  <c r="M123" i="2"/>
  <c r="N123" i="2" s="1"/>
  <c r="L123" i="2"/>
  <c r="J123" i="2"/>
  <c r="D123" i="2"/>
  <c r="M122" i="2"/>
  <c r="N122" i="2" s="1"/>
  <c r="L122" i="2"/>
  <c r="J122" i="2"/>
  <c r="D122" i="2"/>
  <c r="M121" i="2"/>
  <c r="N121" i="2" s="1"/>
  <c r="L121" i="2"/>
  <c r="J121" i="2"/>
  <c r="D121" i="2"/>
  <c r="M120" i="2"/>
  <c r="N120" i="2" s="1"/>
  <c r="L120" i="2"/>
  <c r="J120" i="2"/>
  <c r="D120" i="2"/>
  <c r="M119" i="2"/>
  <c r="N119" i="2" s="1"/>
  <c r="L119" i="2"/>
  <c r="J119" i="2"/>
  <c r="D119" i="2"/>
  <c r="M118" i="2"/>
  <c r="N118" i="2" s="1"/>
  <c r="L118" i="2"/>
  <c r="J118" i="2"/>
  <c r="D118" i="2"/>
  <c r="M117" i="2"/>
  <c r="N117" i="2" s="1"/>
  <c r="L117" i="2"/>
  <c r="J117" i="2"/>
  <c r="D117" i="2"/>
  <c r="M116" i="2"/>
  <c r="N116" i="2" s="1"/>
  <c r="L116" i="2"/>
  <c r="J116" i="2"/>
  <c r="D116" i="2"/>
  <c r="M115" i="2"/>
  <c r="N115" i="2" s="1"/>
  <c r="L115" i="2"/>
  <c r="J115" i="2"/>
  <c r="D115" i="2"/>
  <c r="M114" i="2"/>
  <c r="N114" i="2" s="1"/>
  <c r="L114" i="2"/>
  <c r="J114" i="2"/>
  <c r="D114" i="2"/>
  <c r="M113" i="2"/>
  <c r="N113" i="2" s="1"/>
  <c r="L113" i="2"/>
  <c r="J113" i="2"/>
  <c r="D113" i="2"/>
  <c r="M112" i="2"/>
  <c r="N112" i="2" s="1"/>
  <c r="L112" i="2"/>
  <c r="J112" i="2"/>
  <c r="D112" i="2"/>
  <c r="M111" i="2"/>
  <c r="N111" i="2" s="1"/>
  <c r="L111" i="2"/>
  <c r="J111" i="2"/>
  <c r="D111" i="2"/>
  <c r="M110" i="2"/>
  <c r="N110" i="2" s="1"/>
  <c r="L110" i="2"/>
  <c r="J110" i="2"/>
  <c r="D110" i="2"/>
  <c r="M109" i="2"/>
  <c r="N109" i="2" s="1"/>
  <c r="L109" i="2"/>
  <c r="J109" i="2"/>
  <c r="D109" i="2"/>
  <c r="M108" i="2"/>
  <c r="N108" i="2" s="1"/>
  <c r="L108" i="2"/>
  <c r="J108" i="2"/>
  <c r="D108" i="2"/>
  <c r="M107" i="2"/>
  <c r="N107" i="2" s="1"/>
  <c r="L107" i="2"/>
  <c r="J107" i="2"/>
  <c r="D107" i="2"/>
  <c r="N106" i="2"/>
  <c r="M106" i="2"/>
  <c r="L106" i="2"/>
  <c r="J106" i="2"/>
  <c r="D106" i="2"/>
  <c r="M105" i="2"/>
  <c r="N105" i="2" s="1"/>
  <c r="L105" i="2"/>
  <c r="J105" i="2"/>
  <c r="D105" i="2"/>
  <c r="M104" i="2"/>
  <c r="N104" i="2" s="1"/>
  <c r="L104" i="2"/>
  <c r="J104" i="2"/>
  <c r="D104" i="2"/>
  <c r="M103" i="2"/>
  <c r="N103" i="2" s="1"/>
  <c r="L103" i="2"/>
  <c r="J103" i="2"/>
  <c r="D103" i="2"/>
  <c r="M102" i="2"/>
  <c r="N102" i="2" s="1"/>
  <c r="L102" i="2"/>
  <c r="J102" i="2"/>
  <c r="D102" i="2"/>
  <c r="M101" i="2"/>
  <c r="N101" i="2" s="1"/>
  <c r="L101" i="2"/>
  <c r="J101" i="2"/>
  <c r="D101" i="2"/>
  <c r="M100" i="2"/>
  <c r="N100" i="2" s="1"/>
  <c r="L100" i="2"/>
  <c r="J100" i="2"/>
  <c r="D100" i="2"/>
  <c r="M99" i="2"/>
  <c r="N99" i="2" s="1"/>
  <c r="L99" i="2"/>
  <c r="J99" i="2"/>
  <c r="D99" i="2"/>
  <c r="M98" i="2"/>
  <c r="N98" i="2" s="1"/>
  <c r="L98" i="2"/>
  <c r="J98" i="2"/>
  <c r="D98" i="2"/>
  <c r="M97" i="2"/>
  <c r="N97" i="2" s="1"/>
  <c r="L97" i="2"/>
  <c r="J97" i="2"/>
  <c r="D97" i="2"/>
  <c r="M96" i="2"/>
  <c r="N96" i="2" s="1"/>
  <c r="L96" i="2"/>
  <c r="J96" i="2"/>
  <c r="D96" i="2"/>
  <c r="M95" i="2"/>
  <c r="N95" i="2" s="1"/>
  <c r="L95" i="2"/>
  <c r="J95" i="2"/>
  <c r="D95" i="2"/>
  <c r="M94" i="2"/>
  <c r="N94" i="2" s="1"/>
  <c r="L94" i="2"/>
  <c r="J94" i="2"/>
  <c r="D94" i="2"/>
  <c r="M93" i="2"/>
  <c r="N93" i="2" s="1"/>
  <c r="L93" i="2"/>
  <c r="J93" i="2"/>
  <c r="D93" i="2"/>
  <c r="M92" i="2"/>
  <c r="N92" i="2" s="1"/>
  <c r="L92" i="2"/>
  <c r="J92" i="2"/>
  <c r="D92" i="2"/>
  <c r="M91" i="2"/>
  <c r="N91" i="2" s="1"/>
  <c r="L91" i="2"/>
  <c r="J91" i="2"/>
  <c r="D91" i="2"/>
  <c r="M90" i="2"/>
  <c r="N90" i="2" s="1"/>
  <c r="L90" i="2"/>
  <c r="J90" i="2"/>
  <c r="D90" i="2"/>
  <c r="M89" i="2"/>
  <c r="N89" i="2" s="1"/>
  <c r="L89" i="2"/>
  <c r="J89" i="2"/>
  <c r="D89" i="2"/>
  <c r="D3" i="2"/>
  <c r="D5" i="5" s="1"/>
  <c r="C3" i="2"/>
  <c r="C5" i="5" s="1"/>
  <c r="H4" i="5" s="1"/>
  <c r="C6" i="5" l="1"/>
  <c r="E6" i="5" s="1"/>
  <c r="C6" i="2"/>
  <c r="K4" i="5"/>
  <c r="D4" i="1"/>
  <c r="D4" i="5" s="1"/>
  <c r="C4" i="1"/>
  <c r="D3" i="1"/>
  <c r="D3" i="5" s="1"/>
  <c r="C3" i="1"/>
  <c r="C4" i="5" l="1"/>
  <c r="C6" i="1"/>
  <c r="K5" i="5"/>
  <c r="H5" i="5"/>
  <c r="C3" i="5"/>
  <c r="E4" i="5" l="1"/>
  <c r="E5" i="4"/>
  <c r="G5" i="4" s="1"/>
  <c r="E4" i="4"/>
  <c r="G4" i="4" s="1"/>
  <c r="I5" i="5" l="1"/>
  <c r="L5" i="5"/>
  <c r="I4" i="5"/>
  <c r="L4" i="5"/>
  <c r="M5" i="5" l="1"/>
  <c r="M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J35" authorId="0" shapeId="0" xr:uid="{BC43A236-72A8-4BF5-AE05-129F2C1B519B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Hides the heating element from plain sight; may provide additional space &amp; make cleaning easier.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tc={06577E56-9E71-4335-8BAA-752B6B3C493E}</author>
    <author>tc={544BFA21-52A8-44E7-9484-6F574B357F4B}</author>
  </authors>
  <commentList>
    <comment ref="H9" authorId="0" shapeId="0" xr:uid="{06577E56-9E71-4335-8BAA-752B6B3C493E}">
      <text>
        <t>[Threaded comment]
Your version of Excel allows you to read this threaded comment; however, any edits to it will get removed if the file is opened in a newer version of Excel. Learn more: https://go.microsoft.com/fwlink/?linkid=870924
Comment:
    Sum of Upper Watt Range Values for Burners</t>
      </text>
    </comment>
    <comment ref="K88" authorId="1" shapeId="0" xr:uid="{544BFA21-52A8-44E7-9484-6F574B357F4B}">
      <text>
        <t>[Threaded comment]
Your version of Excel allows you to read this threaded comment; however, any edits to it will get removed if the file is opened in a newer version of Excel. Learn more: https://go.microsoft.com/fwlink/?linkid=870924
Comment:
    Sum of Upper Watt Range Values for Burners</t>
      </text>
    </comment>
  </commentList>
</comments>
</file>

<file path=xl/sharedStrings.xml><?xml version="1.0" encoding="utf-8"?>
<sst xmlns="http://schemas.openxmlformats.org/spreadsheetml/2006/main" count="1539" uniqueCount="520">
  <si>
    <t>IMC</t>
  </si>
  <si>
    <t>Cost</t>
  </si>
  <si>
    <t>Sample</t>
  </si>
  <si>
    <t>Electric Resistance</t>
  </si>
  <si>
    <t>Induction</t>
  </si>
  <si>
    <t>Labor Cost</t>
  </si>
  <si>
    <t>Description</t>
  </si>
  <si>
    <t>Labor Hours Min</t>
  </si>
  <si>
    <t>Labor Hours Max</t>
  </si>
  <si>
    <t>Avg Labor Hours</t>
  </si>
  <si>
    <t>Total Labor Cost</t>
  </si>
  <si>
    <t>Cooking Range, Residential Appliances Free Standing 1 Oven, 30" Wide</t>
  </si>
  <si>
    <t>Countertop Cook Tops, Residential Appliances, Standard, 4 Burner</t>
  </si>
  <si>
    <t>Electrician Hourly Rate with O&amp;P</t>
  </si>
  <si>
    <t>Manufacturer</t>
  </si>
  <si>
    <t>Model</t>
  </si>
  <si>
    <t>Smart (Y/N)</t>
  </si>
  <si>
    <t>Fitting Type</t>
  </si>
  <si>
    <t>Cleaning Type</t>
  </si>
  <si>
    <t>Oven Size (cu. Ft.)</t>
  </si>
  <si>
    <t>Notes</t>
  </si>
  <si>
    <t>URL</t>
  </si>
  <si>
    <t>Whirlpool</t>
  </si>
  <si>
    <t>N</t>
  </si>
  <si>
    <t>Frigidaire</t>
  </si>
  <si>
    <t>GE</t>
  </si>
  <si>
    <t>Café</t>
  </si>
  <si>
    <t>Maytag</t>
  </si>
  <si>
    <t>Y</t>
  </si>
  <si>
    <t>Bosch</t>
  </si>
  <si>
    <t>KitchenAid</t>
  </si>
  <si>
    <t>Summit</t>
  </si>
  <si>
    <t>Manual</t>
  </si>
  <si>
    <t>Oven Type</t>
  </si>
  <si>
    <t>Number of Ovens</t>
  </si>
  <si>
    <t>Material</t>
  </si>
  <si>
    <t>Freestanding</t>
  </si>
  <si>
    <t>Steam</t>
  </si>
  <si>
    <t>Radiant</t>
  </si>
  <si>
    <t>SS</t>
  </si>
  <si>
    <t>Samsung</t>
  </si>
  <si>
    <t>Self</t>
  </si>
  <si>
    <t>Convection</t>
  </si>
  <si>
    <t>Slide-In</t>
  </si>
  <si>
    <t>True Convection</t>
  </si>
  <si>
    <t>Kitchen Aid</t>
  </si>
  <si>
    <t>Amana</t>
  </si>
  <si>
    <t>White</t>
  </si>
  <si>
    <t>BSS</t>
  </si>
  <si>
    <t>WFE505W0HZ</t>
  </si>
  <si>
    <t>NE59N6630SS</t>
  </si>
  <si>
    <t>WFE525S0HZ</t>
  </si>
  <si>
    <t>WFE550S0HZ</t>
  </si>
  <si>
    <t>NE59N66650SG</t>
  </si>
  <si>
    <t>https://www.homedepot.com/p/Whirlpool-5-3-cu-ft-Electric-Range-with-Steam-Clean-and-5-Elements-in-Fingerprint-Resistant-Stainless-Steel-WFE505W0HZ/302943449</t>
  </si>
  <si>
    <t>https://www.homedepot.com/p/Samsung-30-in-5-9-cu-ft-Single-Oven-Electric-Range-with-Self-Cleaning-True-Convection-in-Stainless-Steel-NE59N6630SS/305154192</t>
  </si>
  <si>
    <t>https://www.homedepot.com/p/Whirlpool-5-3-cu-ft-Electric-Range-with-Self-Cleaning-Oven-in-Fingerprint-Resistant-Stainless-Steel-WFE525S0HZ/302745931</t>
  </si>
  <si>
    <t>https://www.homedepot.com/p/Whirlpool-5-3-cu-ft-Electric-Range-with-Self-Cleaning-Convection-Oven-in-Fingerprint-Resistant-Stainless-Steel-WFE550S0HZ/302942047</t>
  </si>
  <si>
    <t>https://www.homedepot.com/p/Samsung-30-in-5-9-cu-ft-Single-Oven-Electric-Range-with-Convection-Oven-in-Fingerprint-Resistant-Black-Stainless-NE59N6650SG/305411996</t>
  </si>
  <si>
    <t>MER6600FZ</t>
  </si>
  <si>
    <t>https://www.homedepot.com/p/Maytag-5-3-cu-ft-Electric-Range-with-Shatter-Resistant-Cooktop-in-Fingerprint-Resistant-Stainless-Steel-MER6600FZ/301612250</t>
  </si>
  <si>
    <t>JB645RKSS</t>
  </si>
  <si>
    <t>https://www.lowes.com/pd/GE-Smooth-Surface-5-3-cu-ft-Self-Cleaning-Freestanding-Electric-Range-Stainless-Steel-Common-30-in-Actual-29-875-in/1000014256</t>
  </si>
  <si>
    <t>NE59M4320SS</t>
  </si>
  <si>
    <t>NE58K9430SS</t>
  </si>
  <si>
    <t>NE59M4310SS</t>
  </si>
  <si>
    <t>https://www.bestbuy.com/site/samsung-5-9-cu-ft-convection-freestanding-electric-range-stainless-steel/5713571.p?skuId=5713571</t>
  </si>
  <si>
    <t>https://www.bestbuy.com/site/samsung-5-8-cu-ft-electric-self-cleaning-slide-in-range-with-convection-stainless-steel/4892505.p?skuId=4892505</t>
  </si>
  <si>
    <t>https://www.bestbuy.com/site/samsung-5-9-cu-ft-freestanding-electric-range-stainless-steel/5713322.p?skuId=5713322</t>
  </si>
  <si>
    <t>HBS60DKWW</t>
  </si>
  <si>
    <t>JB655SKSS</t>
  </si>
  <si>
    <t>https://www.bestbuy.com/site/ge-5-0-cu-ft-freestanding-electric-range-white/4955900.p?skuId=4955900</t>
  </si>
  <si>
    <t>https://www.bestbuy.com/site/ge-5-3-cu-ft-freestanding-electric-convection-range-stainless-steel/4992300.p?skuId=4992300</t>
  </si>
  <si>
    <t>FFEH3054US</t>
  </si>
  <si>
    <t>https://www.amazon.com/Frigidaire-FFEH3054US-Freestanding-Smoothtop-Stainless/dp/B07HB83S27/ref=sr_1_3?keywords=electric+range&amp;qid=1561646545&amp;s=gateway&amp;sr=8-3</t>
  </si>
  <si>
    <t>Kenmore</t>
  </si>
  <si>
    <t>https://www.searsoutlet.com/br/pdp/kenmore-92623-5-3-cu-ft-electric-self-clean-radiant-range-stainless-steel/197235?uid=42707497</t>
  </si>
  <si>
    <t>JBS360DMWW</t>
  </si>
  <si>
    <t>https://www.searsoutlet.com/br/pdp/ge-appliances-jbs360dmww-30-free-standing-electric-range-white/197573?uid=49137525</t>
  </si>
  <si>
    <t>https://www.searsoutlet.com/br/pdp/kenmore-96197-5-4-cu-ft-electric-range-w-convection-oven-black-stainless-steel/184225?uid=42708389</t>
  </si>
  <si>
    <t>https://www.searsoutlet.com/br/pdp/kenmore-94193-5-4-cu-ft-electric-range-w-convection-oven-stainless-steel/116096?uid=36011069</t>
  </si>
  <si>
    <t>JBS160DMWW</t>
  </si>
  <si>
    <t>https://www.searsoutlet.com/br/pdp/kenmore-92573-5-4-cu-ft-self-clean-electric-coil-range-with-convection-stainless-steel/196811?uid=42706811</t>
  </si>
  <si>
    <t>https://www.searsoutlet.com/br/pdp/ge-appliances-jbs160dmww-30-free-standing-electric-range-white/197589?uid=48317715</t>
  </si>
  <si>
    <t>FFEF3016US</t>
  </si>
  <si>
    <t>https://www.lowes.com/pd/Frigidaire-5-3-cu-ft-Self-Cleaning-Freestanding-Electric-Range-Stainless-Steel-Common-30-in-Actual-29-875-in/1000549175</t>
  </si>
  <si>
    <t>LFEH3054UF</t>
  </si>
  <si>
    <t>JS645SLSS</t>
  </si>
  <si>
    <t>JB258DMWW</t>
  </si>
  <si>
    <t>https://www.lowes.com/pd/Frigidaire-Smooth-Surface-5-Element-5-cu-ft-Self-Cleaning-Freestanding-Electric-Range-EasyCare-Stainless-Steel-Common-30-in-Actual-29-875-in/1000549235</t>
  </si>
  <si>
    <t>https://www.lowes.com/pd/GE-Smooth-Surface-5-3-cu-ft-Self-Cleaning-Slide-in-Electric-Range-Stainless-Steel-Common-30-in-Actual-29-875-in/1000309761</t>
  </si>
  <si>
    <t>https://www.lowes.com/pd/GE-5-3-cu-ft-Self-Cleaning-Freestanding-Electric-Range-White-Common-30-in-Actual-30-in/1000559633</t>
  </si>
  <si>
    <t>Electric Resistance Range</t>
  </si>
  <si>
    <t>Amperage (Amps@240V)</t>
  </si>
  <si>
    <t>Power@MaxDraw (kW@240V)</t>
  </si>
  <si>
    <t>Hidden Bake Element (Y/N)</t>
  </si>
  <si>
    <t>Broiler in Oven</t>
  </si>
  <si>
    <t>Gliding/Roll Out Racks (Y/N)</t>
  </si>
  <si>
    <t>Safety Lock (Y/N)</t>
  </si>
  <si>
    <t>Virtual Flame (Y/N)</t>
  </si>
  <si>
    <t>Warming Drawer (Y/N)</t>
  </si>
  <si>
    <t>Air Fry (Y/N)</t>
  </si>
  <si>
    <t>FGIF3036TF</t>
  </si>
  <si>
    <t>https://www.homedepot.com/p/Frigidaire-Gallery-30-in-5-4-cu-ft-Induction-Range-with-Self-Cleaning-Oven-in-Smudge-Proof-Stainless-Steel-FGIF3036TF/302580321</t>
  </si>
  <si>
    <t>PHB920SJSS</t>
  </si>
  <si>
    <t>https://www.amazon.com/GE-PHB920SJSS-Stainless-Electric-Induction/dp/B012HL3JC0/ref=sr_1_9?keywords=induction+range&amp;qid=1561588349&amp;s=gateway&amp;sr=8-9</t>
  </si>
  <si>
    <t>FGIF3036TD</t>
  </si>
  <si>
    <t>https://www.ajmadison.com/cgi-bin/ajmadison/FGIF3036T.html</t>
  </si>
  <si>
    <t>FFIF3054TS</t>
  </si>
  <si>
    <t>https://www.ajmadison.com/cgi-bin/ajmadison/FFIF3054TS.html</t>
  </si>
  <si>
    <t>FFIF3054TD</t>
  </si>
  <si>
    <t>https://www.homedepot.com/p/Frigidaire-30-in-5-4-cu-ft-Induction-Range-with-Self-Cleaning-Oven-in-Stainless-Steel-FFIF3054TS/302939756</t>
  </si>
  <si>
    <t>FGIH3047VF</t>
  </si>
  <si>
    <t>https://www.appliancesconnection.com/frigidaire-fgih3047vf.html</t>
  </si>
  <si>
    <t>PHB920EJES</t>
  </si>
  <si>
    <t>Slate</t>
  </si>
  <si>
    <t>https://products.geappliances.com/appliance/gea-specs/PHB920EJES</t>
  </si>
  <si>
    <t>PHB920BJTS</t>
  </si>
  <si>
    <t>https://products.geappliances.com/appliance/gea-specs/PHB920BJTS</t>
  </si>
  <si>
    <t>https://www.nfm.com/frigidaire-30-free-standing-induction-range-in-stainless-steel</t>
  </si>
  <si>
    <t>https://www.nfm.com/frigidaire-30-free-standing-induction-range-in-black-stainless</t>
  </si>
  <si>
    <t>https://www.nfm.com/ge-profile-30-free-standing-convection-range-with-induction-in-stainless-steel</t>
  </si>
  <si>
    <t>https://www.nfm.com/ge-appliances-30-free-standing-convection-range-with-induction-in-black-stainless</t>
  </si>
  <si>
    <t>https://www.nfm.com/ge-profile-5-3-cu-ft-freestanding-electric-range-with-induction</t>
  </si>
  <si>
    <t>https://www.nfm.com/frigidaire-30-free-standing-induction-range-with-smooth-top-in-stainless-steel</t>
  </si>
  <si>
    <t>Electrolux</t>
  </si>
  <si>
    <t>EI30IF40LS</t>
  </si>
  <si>
    <t>https://www.electroluxappliances.com/Kitchen-Appliances/Ranges/Induction-Range/EI30IF40LS/</t>
  </si>
  <si>
    <t>https://www.sears.com/ge-profile-series-phb920bjts-30inch-free-standing/p-A013493884?plpSellerId=Sears&amp;prdNo=15&amp;blockNo=15&amp;blockType=G15</t>
  </si>
  <si>
    <t>https://www.sears.com/frigidaire-gallery-fgif3036td-30inch-freestanding-induction-range/p-02281997000P?plpSellerId=Sears&amp;prdNo=13&amp;blockNo=13&amp;blockType=G13</t>
  </si>
  <si>
    <t>https://www.sears.com/ge-profile-8482-series-phb920ejes-30inch-electric-freestanding/p-02289237000P?plpSellerId=Sears&amp;prdNo=12&amp;blockNo=12&amp;blockType=G12</t>
  </si>
  <si>
    <t>https://www.sears.com/ge-profile-8482-series-5.3-cu-ft-freestanding-electric/p-02260653000P?plpSellerId=Sears&amp;prdNo=9&amp;blockNo=9&amp;blockType=G9</t>
  </si>
  <si>
    <t>https://www.sears.com/frigidaire-ffif3054ts-30inch-freestanding-induction-range-stainless/p-02282153000P?plpSellerId=Sears&amp;prdNo=7&amp;blockNo=7&amp;blockType=G7</t>
  </si>
  <si>
    <t>https://www.sears.com/frigidaire-gallery-fgif3036tf-30inch-freestanding-induction-range/p-02281993000P?plpSellerId=Sears&amp;prdNo=3&amp;blockNo=3&amp;blockType=G3</t>
  </si>
  <si>
    <t>NE58H9970WS</t>
  </si>
  <si>
    <t>https://www.rcwilley.com/Appliances/Cooking/Ranges/Induction/NE58H9970WS/4396022/Samsung-Chef-30-Inch-5.8-cu.-ft.-Induction-Electric-Range---Stainless-Steel-View</t>
  </si>
  <si>
    <t>https://www.rcwilley.com/Appliances/Cooking/Ranges/Induction/FGIF3036TF/110817818/Frigidaire-Gallery-Induction-Range---5.4-cu.-ft.-Stainless-Steel-View</t>
  </si>
  <si>
    <t>https://www.rcwilley.com/Appliances/Cooking/Ranges/Induction/FFIF3054TS/110817760/Frigidaire-Induction-Range---5.3-cu.-ft.-Stainless-Steel-View</t>
  </si>
  <si>
    <t xml:space="preserve">Induction Range </t>
  </si>
  <si>
    <t>Retailer</t>
  </si>
  <si>
    <t>Manufacturer Site?</t>
  </si>
  <si>
    <t>Cooktop Vol (cu. in.)</t>
  </si>
  <si>
    <t>Vol to Nearest Quarter-Century</t>
  </si>
  <si>
    <t># Elements</t>
  </si>
  <si>
    <t>Certifications</t>
  </si>
  <si>
    <t>Sears</t>
  </si>
  <si>
    <t>AJ Madison</t>
  </si>
  <si>
    <t>Fulgor Milano</t>
  </si>
  <si>
    <t>Viking</t>
  </si>
  <si>
    <t>Bertazzoni</t>
  </si>
  <si>
    <t>Amp Bin (Nearest Half-Decade)</t>
  </si>
  <si>
    <t>Watt Bin (Nearest Integer)</t>
  </si>
  <si>
    <t>JP3530TJWW</t>
  </si>
  <si>
    <t>UL, ADA</t>
  </si>
  <si>
    <t>https://www.sears.com/ge-30inch-built-in-knob-control-electric-cooktop/p-02228202000P?plpSellerId=Sears&amp;prdNo=5&amp;blockNo=5&amp;blockType=G5</t>
  </si>
  <si>
    <t>UL, ADA, CSA</t>
  </si>
  <si>
    <t>https://www.sears.com/kenmore-30inch-electric-cooktop-black/p-02245109000P?plpSellerId=Sears&amp;prdNo=3&amp;blockNo=3&amp;blockType=G3</t>
  </si>
  <si>
    <t>UL</t>
  </si>
  <si>
    <t>https://www.sears.com/kenmore-41323-36inch-electric-coil-cooktop-stainless-steel/p-A035521872?plpSellerId=Sears&amp;prdNo=1&amp;blockNo=1&amp;blockType=G1</t>
  </si>
  <si>
    <t>JP3536TJWW</t>
  </si>
  <si>
    <t>ADA</t>
  </si>
  <si>
    <t>https://www.sears.com/ge-36inch-built-in-knob-control-electric-cooktop/p-02228972000P?plpSellerId=Sears&amp;prdNo=4&amp;blockNo=4&amp;blockType=G4</t>
  </si>
  <si>
    <t>https://www.sears.com/kenmore-41303-30inch-electric-coil-cooktop-stainless-steel/p-A035521396?plpSellerId=Sears&amp;prdNo=2&amp;blockNo=2&amp;blockType=G2</t>
  </si>
  <si>
    <t>JP5030DJBB</t>
  </si>
  <si>
    <t>https://www.sears.com/ge-appliances-jp5030djbb-30inch-built-in-touch-control/p-02228549000P?plpSellerId=Sears&amp;prdNo=6&amp;blockNo=6&amp;blockType=G6</t>
  </si>
  <si>
    <t>Home Depot</t>
  </si>
  <si>
    <t>NZ30K7570RS</t>
  </si>
  <si>
    <t>https://www.homedepot.com/p/Samsung-30-in-Radiant-Electric-Cooktop-in-Stainless-Steel-with-5-Elements-Rapid-Boil-and-Wi-Fi-NZ30K7570RS/300523061</t>
  </si>
  <si>
    <t>WCE55US0HB</t>
  </si>
  <si>
    <t>https://www.homedepot.com/p/Whirlpool-30-in-Radiant-Electric-Ceramic-Glass-Cooktop-in-Black-with-4-Elements-including-a-Dual-Radiant-Element-WCE55US0HB/305455086</t>
  </si>
  <si>
    <t>FFEC3025UB</t>
  </si>
  <si>
    <t>CSA</t>
  </si>
  <si>
    <t>https://www.homedepot.com/p/Frigidaire-30-in-Radiant-Electric-Cooktop-in-Black-with-4-Elements-including-Quick-Boil-Element-FFEC3025UB/308849700</t>
  </si>
  <si>
    <t>EI30EC45KS</t>
  </si>
  <si>
    <t>https://www.homedepot.com/p/Electrolux-30-in-Smooth-Surface-Electric-Cooktop-in-Stainless-Steel-with-4-Elements-Including-Flex-2-Fit-Element-EI30EC45KS/203754678</t>
  </si>
  <si>
    <t>https://www.homedepot.com/p/GE-30-in-Radiant-Electric-Cooktop-in-Black-with-4-Elements-including-Power-Boil-Element-JP5030DJBB/205951517</t>
  </si>
  <si>
    <t>WCE55US4HB</t>
  </si>
  <si>
    <t>https://www.homedepot.com/p/Whirlpool-24-in-Radiant-Electric-Cooktop-in-Black-with-4-Elements-WCE55US4HB/305594361</t>
  </si>
  <si>
    <t>KCES550HSS</t>
  </si>
  <si>
    <t>https://www.homedepot.com/p/KitchenAid-30-in-Radiant-Electric-Cooktop-in-Stainless-Steel-with-5-Elements-and-Knob-Controls-KCES550HSS/306521703</t>
  </si>
  <si>
    <t>NET8068SUC</t>
  </si>
  <si>
    <t>https://www.homedepot.com/p/Bosch-800-Series-30-in-Radiant-Electric-Cooktop-in-Black-with-Stainless-Steel-Frame-with-4-Elements-NET8068SUC/304812037</t>
  </si>
  <si>
    <t>NET8068UC</t>
  </si>
  <si>
    <t>https://www.homedepot.com/p/Bosch-800-Series-30-in-Radiant-Electric-Cooktop-in-Black-with-4-Elements-including-3-600-Watt-Element-NET8068UC/304812057</t>
  </si>
  <si>
    <t>NZ36K7570RG</t>
  </si>
  <si>
    <t>https://www.homedepot.com/p/Samsung-36-in-Radiant-Electric-Cooktop-in-Fingerprint-Resistant-Black-Stainless-with-5-Elements-Rapid-Boil-and-WiFi-NZ36K7570RG/300640080</t>
  </si>
  <si>
    <t>NEM5466UC</t>
  </si>
  <si>
    <t>https://www.homedepot.com/p/Bosch-500-Series-24-in-Radiant-Electric-Cooktop-in-Black-with-4-Elements-including-2-200-Watt-Element-Boil-Time-NEM5466UC/304811992</t>
  </si>
  <si>
    <t>KCED600GBL</t>
  </si>
  <si>
    <t>https://www.homedepot.com/p/KitchenAid-30-in-Electric-Downdraft-Cooktop-in-Black-with-4-Elements-KCED600GBL/301571508</t>
  </si>
  <si>
    <t>NZ30K6330RS</t>
  </si>
  <si>
    <t>https://www.homedepot.com/p/Samsung-30-in-Radiant-Electric-Cooktop-in-Stainless-Steel-with-5-Elements-and-Wi-Fi-NZ30K6330RS/300522946</t>
  </si>
  <si>
    <t>KCES556HSS</t>
  </si>
  <si>
    <t>https://www.homedepot.com/p/KitchenAid-36-in-Radiant-Electric-Cooktop-in-Stainless-Steel-with-5-Elements-and-Knob-Controls-KCES556HSS/306522045</t>
  </si>
  <si>
    <t>NEM5066UC</t>
  </si>
  <si>
    <t>https://www.homedepot.com/p/Bosch-500-Series-30-in-Radiant-Electric-Cooktop-in-Black-with-4-Elements-including-2-500-Watt-Element-Boil-Time-NEM5066UC/304811963</t>
  </si>
  <si>
    <t>KCED606GBL</t>
  </si>
  <si>
    <t>https://www.homedepot.com/p/KitchenAid-36-in-Radiant-Electric-Cooktop-in-Black-with-5-Elements-and-Downdraft-Ventilation-KCED606GBL/301452805</t>
  </si>
  <si>
    <t>WCE55US6HB</t>
  </si>
  <si>
    <t>https://www.homedepot.com/p/Whirlpool-36-in-Radiant-Electric-Ceramic-Glass-Cooktop-in-Black-with-5-Elements-including-a-Dual-Radiant-Element-WCE55US6HB/305455472</t>
  </si>
  <si>
    <t>MEC8830HB</t>
  </si>
  <si>
    <t>https://www.homedepot.com/p/Maytag-30-in-Radiant-Electric-Cooktop-in-Black-with-4-Elements-and-Reversible-Grill-Griddle-MEC8830HB/306920158</t>
  </si>
  <si>
    <t>Cafe</t>
  </si>
  <si>
    <t>CEP70302MS1</t>
  </si>
  <si>
    <t>https://www.homedepot.com/p/Cafe-30-in-Radiant-Electric-Cooktop-in-Black-and-Brushed-Stainless-with-5-Elements-including-Sync-Burners-CEP70302MS1/306368148</t>
  </si>
  <si>
    <t>NEM5666UC</t>
  </si>
  <si>
    <t>https://www.homedepot.com/p/Bosch-500-Series-36-in-Radiant-Electric-Cooktop-in-Black-with-5-Elements-including-2-500-Watt-Element-NEM5666UC/304812011</t>
  </si>
  <si>
    <t>NZ36K6430RG</t>
  </si>
  <si>
    <t>https://www.homedepot.com/p/Samsung-36-in-Radiant-Electric-Cooktop-in-Fingerprint-Resistant-Black-Stainless-with-5-Elements-and-Wi-Fi-NZ36K6430RG/300523007</t>
  </si>
  <si>
    <t>WCE77US0HB</t>
  </si>
  <si>
    <t>https://www.homedepot.com/p/Whirlpool-30-in-Radiant-Electric-Ceramic-Glass-Cooktop-in-Black-with-5-Elements-including-2-Dual-Radiant-Elements-WCE77US0HB/305455736</t>
  </si>
  <si>
    <t>CSA, ADA</t>
  </si>
  <si>
    <t>https://www.ajmadison.com/cgi-bin/ajmadison/NET8068.html</t>
  </si>
  <si>
    <t>FFEC3025US</t>
  </si>
  <si>
    <t>https://www.ajmadison.com/cgi-bin/ajmadison/FFEC3025UX.html</t>
  </si>
  <si>
    <t>JP3030SJSS</t>
  </si>
  <si>
    <t>https://www.ajmadison.com/cgi-bin/ajmadison/JP3030.html</t>
  </si>
  <si>
    <t>JP5030SJSS</t>
  </si>
  <si>
    <t>https://www.ajmadison.com/cgi-bin/ajmadison/JP5030.html</t>
  </si>
  <si>
    <t>WCE55US0HS</t>
  </si>
  <si>
    <t>https://www.ajmadison.com/cgi-bin/ajmadison/WCE55US0H.html</t>
  </si>
  <si>
    <t>https://www.ajmadison.com/cgi-bin/ajmadison/NEM5066UC.html</t>
  </si>
  <si>
    <t>Blomberg</t>
  </si>
  <si>
    <t>CTE30410</t>
  </si>
  <si>
    <t>https://www.ajmadison.com/cgi-bin/ajmadison/CTE30410.html</t>
  </si>
  <si>
    <t>P244CERNE</t>
  </si>
  <si>
    <t>https://www.ajmadison.com/cgi-bin/ajmadison/P244CERNE.html</t>
  </si>
  <si>
    <t>CTE24410</t>
  </si>
  <si>
    <t>https://www.ajmadison.com/cgi-bin/ajmadison/CTE24410.html</t>
  </si>
  <si>
    <t>https://www.ajmadison.com/cgi-bin/ajmadison/NEM5466UC.html</t>
  </si>
  <si>
    <t>F5RT30S2</t>
  </si>
  <si>
    <t>https://www.ajmadison.com/cgi-bin/ajmadison/F6RT30S2.html</t>
  </si>
  <si>
    <t>ADA, Star-K</t>
  </si>
  <si>
    <t>https://www.ajmadison.com/cgi-bin/ajmadison/EI30EC45KS.html</t>
  </si>
  <si>
    <t>AEC6540KFB</t>
  </si>
  <si>
    <t>https://www.ajmadison.com/cgi-bin/ajmadison/AEC6540KFB.html</t>
  </si>
  <si>
    <t>FGEC3045KW</t>
  </si>
  <si>
    <t>https://www.ajmadison.com/cgi-bin/ajmadison/FGEC3045K.html</t>
  </si>
  <si>
    <t>F3RK24S2</t>
  </si>
  <si>
    <t>https://www.ajmadison.com/cgi-bin/ajmadison/F3RK24S2.html</t>
  </si>
  <si>
    <t>JP3530DJBB</t>
  </si>
  <si>
    <t>https://www.ajmadison.com/cgi-bin/ajmadison/JP3530.html</t>
  </si>
  <si>
    <t>FGEC3048US</t>
  </si>
  <si>
    <t>https://www.ajmadison.com/cgi-bin/ajmadison/FGEC3048US.html</t>
  </si>
  <si>
    <t>Verona</t>
  </si>
  <si>
    <t>VECTEM304</t>
  </si>
  <si>
    <t>https://www.ajmadison.com/cgi-bin/ajmadison/VECTEM304.html</t>
  </si>
  <si>
    <t>Thermador</t>
  </si>
  <si>
    <t>CEM305TB</t>
  </si>
  <si>
    <t>https://www.ajmadison.com/cgi-bin/ajmadison/CEM305TB.html</t>
  </si>
  <si>
    <t>CR430SS</t>
  </si>
  <si>
    <t>https://www.ajmadison.com/cgi-bin/ajmadison/CR430SS.html</t>
  </si>
  <si>
    <t>CTE30400</t>
  </si>
  <si>
    <t>https://www.ajmadison.com/cgi-bin/ajmadison/CTE30400.html</t>
  </si>
  <si>
    <t>CEM304NS</t>
  </si>
  <si>
    <t>https://www.ajmadison.com/cgi-bin/ajmadison/CEM304NS.html</t>
  </si>
  <si>
    <t>FFEC3024PS</t>
  </si>
  <si>
    <t>https://www.ajmadison.com/cgi-bin/ajmadison/FFEC3024PS.html</t>
  </si>
  <si>
    <t>CTE24402</t>
  </si>
  <si>
    <t>https://www.ajmadison.com/cgi-bin/ajmadison/CTE24402.html</t>
  </si>
  <si>
    <t>NETP068SUC</t>
  </si>
  <si>
    <t>https://www.ajmadison.com/cgi-bin/ajmadison/NETP068SUC.html</t>
  </si>
  <si>
    <t>JP3036SLSS</t>
  </si>
  <si>
    <t>https://www.ajmadison.com/cgi-bin/ajmadison/JP3036.html</t>
  </si>
  <si>
    <t>JP5036SJSS</t>
  </si>
  <si>
    <t>https://www.ajmadison.com/cgi-bin/ajmadison/JP5036.html</t>
  </si>
  <si>
    <t>RVEC3305BSB</t>
  </si>
  <si>
    <t>https://www.ajmadison.com/cgi-bin/ajmadison/RVEC3305BSB.html</t>
  </si>
  <si>
    <t>WCE97IS0HS</t>
  </si>
  <si>
    <t>https://www.ajmadison.com/cgi-bin/ajmadison/WCE97US0H.html</t>
  </si>
  <si>
    <t>PP9030SJSS</t>
  </si>
  <si>
    <t>https://www.ajmadison.com/cgi-bin/ajmadison/PP9030.html</t>
  </si>
  <si>
    <t>JP3536SJSS</t>
  </si>
  <si>
    <t>https://www.ajmadison.com/cgi-bin/ajmadison/JP3536.html</t>
  </si>
  <si>
    <t>FGEC3068US</t>
  </si>
  <si>
    <t>https://www.ajmadison.com/cgi-bin/ajmadison/FGEC3068U.html</t>
  </si>
  <si>
    <t>PP9036SJSS</t>
  </si>
  <si>
    <t>https://www.ajmadison.com/cgi-bin/ajmadison/PP9036.html</t>
  </si>
  <si>
    <t>WCE97US6HS</t>
  </si>
  <si>
    <t>https://www.ajmadison.com/cgi-bin/ajmadison/WCE97US6H.html</t>
  </si>
  <si>
    <t>CEP70303MS2</t>
  </si>
  <si>
    <t>https://www.ajmadison.com/cgi-bin/ajmadison/CEP7030.html</t>
  </si>
  <si>
    <t>FPEC3077RF</t>
  </si>
  <si>
    <t>https://www.ajmadison.com/cgi-bin/ajmadison/FPEC3077RF.html</t>
  </si>
  <si>
    <t>FFEC3625US</t>
  </si>
  <si>
    <t>https://www.ajmadison.com/cgi-bin/ajmadison/FFEC3625UX.html</t>
  </si>
  <si>
    <t>FGEC3067MB</t>
  </si>
  <si>
    <t>https://www.ajmadison.com/cgi-bin/ajmadison/FGEC3067MB.html</t>
  </si>
  <si>
    <t>F6RT36S1</t>
  </si>
  <si>
    <t>https://www.ajmadison.com/cgi-bin/ajmadison/F6RT36S1.html</t>
  </si>
  <si>
    <t>F6RT36S2</t>
  </si>
  <si>
    <t>https://www.ajmadison.com/cgi-bin/ajmadison/F6RT36S2.html</t>
  </si>
  <si>
    <t>PP7030SJSS</t>
  </si>
  <si>
    <t>https://www.ajmadison.com/cgi-bin/ajmadison/PP7030.html</t>
  </si>
  <si>
    <t>WCE77US6HS</t>
  </si>
  <si>
    <t>https://www.ajmadison.com/cgi-bin/ajmadison/WCE77US6H.html</t>
  </si>
  <si>
    <t>CEP70362MS1</t>
  </si>
  <si>
    <t>https://www.ajmadison.com/cgi-bin/ajmadison/CEP7036.html</t>
  </si>
  <si>
    <t>VCTE36500</t>
  </si>
  <si>
    <t>https://www.ajmadison.com/cgi-bin/ajmadison/CTE36500.html</t>
  </si>
  <si>
    <t>CEM366TB</t>
  </si>
  <si>
    <t>https://www.ajmadison.com/cgi-bin/ajmadison/CEM366TB.html</t>
  </si>
  <si>
    <t>WCE77US0HS</t>
  </si>
  <si>
    <t>https://www.ajmadison.com/cgi-bin/ajmadison/WCE77US0HX.html</t>
  </si>
  <si>
    <t>CP9536SJSS</t>
  </si>
  <si>
    <t>https://www.ajmadison.com/cgi-bin/ajmadison/CP9536SJSS.html</t>
  </si>
  <si>
    <t>NET8668UC</t>
  </si>
  <si>
    <t>https://www.ajmadison.com/cgi-bin/ajmadison/NET8668.html</t>
  </si>
  <si>
    <t>Bluetooth/Wi-Fi</t>
  </si>
  <si>
    <t>Lowes</t>
  </si>
  <si>
    <t>FGIC3066TB</t>
  </si>
  <si>
    <t>30" Induction Cooktop</t>
  </si>
  <si>
    <t>N/A</t>
  </si>
  <si>
    <t>https://www.lowes.com/pd/Frigidaire-Gallery-30-in-Black-Induction-Cooktop-Common-30-Inch-Actual-30-75-in/1000545187</t>
  </si>
  <si>
    <t>Goedeker's</t>
  </si>
  <si>
    <t>KICU569XBL</t>
  </si>
  <si>
    <t>https://www.goedekers.com/KitchenAid-KICU569XBL.html</t>
  </si>
  <si>
    <t>NZ36K7880UG</t>
  </si>
  <si>
    <t>https://www.goedekers.com/Samsung-NZ36K7880UG.html</t>
  </si>
  <si>
    <t>EW36IC60LS</t>
  </si>
  <si>
    <t>https://www.goedekers.com/Electrolux-EW36IC60LS.html</t>
  </si>
  <si>
    <t>NIT8068SUC</t>
  </si>
  <si>
    <t>https://www.goedekers.com/Bosch-NIT8068SUC.html</t>
  </si>
  <si>
    <t>NIT5668UC</t>
  </si>
  <si>
    <t>https://www.goedekers.com/Bosch-NIT5668UC.html</t>
  </si>
  <si>
    <t>FPIC3677RF</t>
  </si>
  <si>
    <t>https://www.goedekers.com/Frigidaire-FPIC3677RF.html</t>
  </si>
  <si>
    <t>FGIC3667MB</t>
  </si>
  <si>
    <t>https://www.goedekers.com/Frigidaire-FGIC3667MB.html</t>
  </si>
  <si>
    <t>E36IC80QSS</t>
  </si>
  <si>
    <t>https://www.goedekers.com/Electrolux-Icon-E36IC80QSS.html</t>
  </si>
  <si>
    <t>FGIC3666TB</t>
  </si>
  <si>
    <t>https://www.goedekers.com/Frigidaire-FGIC3666TB.html</t>
  </si>
  <si>
    <t>NIT5068UC</t>
  </si>
  <si>
    <t>https://www.goedekers.com/Bosch-NIT5068UC.html</t>
  </si>
  <si>
    <t>NZ36K7880US</t>
  </si>
  <si>
    <t>https://www.goedekers.com/Samsung-NZ36K7880US.html</t>
  </si>
  <si>
    <t>KICU569XSS</t>
  </si>
  <si>
    <t>https://www.goedekers.com/KitchenAid-KICU569XSS.html</t>
  </si>
  <si>
    <t>P365IAE</t>
  </si>
  <si>
    <t>https://www.goedekers.com/Bertazzoni-P365IAE.html</t>
  </si>
  <si>
    <t>FFIC3626TB</t>
  </si>
  <si>
    <t>https://www.goedekers.com/Frigidaire-FFIC3626TB.html</t>
  </si>
  <si>
    <t>VECTI365</t>
  </si>
  <si>
    <t>https://www.goedekers.com/Verona-VECTI365.html</t>
  </si>
  <si>
    <t>PHP9036DJBB</t>
  </si>
  <si>
    <t>https://www.goedekers.com/GE-PHP9036DJBB.html</t>
  </si>
  <si>
    <t>Windcrest</t>
  </si>
  <si>
    <t>CTI304D</t>
  </si>
  <si>
    <t>https://www.goedekers.com/Windcrest-CTI304D.html</t>
  </si>
  <si>
    <t>EW30IC60LS</t>
  </si>
  <si>
    <t>https://www.goedekers.com/OPEN-Electrolux-EW30IC60LS-GS.html</t>
  </si>
  <si>
    <t>NZ30K7880UG</t>
  </si>
  <si>
    <t>https://www.goedekers.com/Samsung-NZ30K7880UG.html</t>
  </si>
  <si>
    <t>PHP9030SJSS</t>
  </si>
  <si>
    <t>https://www.goedekers.com/GE-PHP9030SJSS.html</t>
  </si>
  <si>
    <t>FFIC3026TB</t>
  </si>
  <si>
    <t>https://www.goedekers.com/Frigidaire-FFIC3026TB.html</t>
  </si>
  <si>
    <t>KICU509XSS</t>
  </si>
  <si>
    <t>https://www.goedekers.com/KitchenAid-KICU509XSS.html</t>
  </si>
  <si>
    <t>PHP9030DJBB</t>
  </si>
  <si>
    <t>https://www.goedekers.com/GE-PHP9030DJBB.html</t>
  </si>
  <si>
    <t>P304IAE</t>
  </si>
  <si>
    <t>https://www.goedekers.com/Bertazzoni-P304IAE.html</t>
  </si>
  <si>
    <t>FPIC3077RF</t>
  </si>
  <si>
    <t>https://www.goedekers.com/Frigidaire-FPIC3077RF.html</t>
  </si>
  <si>
    <t>NZ30K7880US</t>
  </si>
  <si>
    <t>https://www.goedekers.com/Samsung-NZ30K7880US.html</t>
  </si>
  <si>
    <t>GCI3061XB</t>
  </si>
  <si>
    <t>https://www.goedekers.com/Whirlpool-GCI3061XB.html</t>
  </si>
  <si>
    <t>KICU509XBL</t>
  </si>
  <si>
    <t>https://www.goedekers.com/KitchenAid-KICU509XBL.html</t>
  </si>
  <si>
    <t>PHP9036BMTS</t>
  </si>
  <si>
    <t>No</t>
  </si>
  <si>
    <t>CSA, ETL, UL, ADA</t>
  </si>
  <si>
    <t>https://www.lowes.com/pd/GE-Profile-5-Element-Smooth-Surface-Induction-Electric-Cooktop/1001004620</t>
  </si>
  <si>
    <t>NIT8069SUC</t>
  </si>
  <si>
    <t>Wi-Fi</t>
  </si>
  <si>
    <t>https://www.lowes.com/pd/Bosch-800-30-in-Black-Induction-Cooktop-Sold-Separately-Common-30-Inch-Actual-31-in/1000874634</t>
  </si>
  <si>
    <t>https://www.lowes.com/pd/Bosch-800-30-in-Black-Induction-Cooktop-Common-30-Inch-Actual-31-in/1000196855</t>
  </si>
  <si>
    <t>ADA,CSA,ETL,UL</t>
  </si>
  <si>
    <t>https://www.lowes.com/pd/GE-Profile-36-in-5-Element-Black-Induction-Cooktop-Common-36-Inch-Actual-36-in/50425908</t>
  </si>
  <si>
    <t>PHP9030BMTS</t>
  </si>
  <si>
    <t>https://www.lowes.com/pd/GE-Profile-30-Inch-Element-Black-Stainless-Steel-Induction-Cooktop-Common-30-Inch-Actual-29-875-in/1001002692</t>
  </si>
  <si>
    <t>Both</t>
  </si>
  <si>
    <t>https://www.lowes.com/pd/Samsung-Premium-Plus-30-in-Stainless-Steel-Induction-Cooktop-Common-30-Inch-Actual-30-in/1000133931</t>
  </si>
  <si>
    <t>CHP95362MSS</t>
  </si>
  <si>
    <t>https://www.lowes.com/pd/GE-36-Inch-Element-Stainless-Steel-Induction-Cooktop-Common-36-Inch-Actual-36-in/1000914704</t>
  </si>
  <si>
    <t>CHP95302MSS</t>
  </si>
  <si>
    <t>https://www.lowes.com/pd/GE-30-in-Stainless-Steel-Induction-Cooktop-Common-30-Inch-Actual-29-75-in/1000552309</t>
  </si>
  <si>
    <t>ADA,CSA</t>
  </si>
  <si>
    <t>https://www.lowes.com/pd/Bosch-500-36-in-5-Element-Black-Induction-Cooktop-Common-36-Inch-Actual-37-in/1000194283</t>
  </si>
  <si>
    <t>https://www.lowes.com/pd/Samsung-Premium-Plus-30-in-Black-Stainless-Steel-Induction-Cooktop-Common-30-Inch-Actual-30-in/1000133935</t>
  </si>
  <si>
    <t>https://www.lowes.com/pd/Samsung-Premium-Plus-36-in-5-Element-Stainless-Steel-Induction-Cooktop-Common-36-Inch-Actual-36-in/1000133939</t>
  </si>
  <si>
    <t>https://www.lowes.com/pd/Samsung-Premium-Plus-36-in-5-Element-Black-Stainless-Steel-Induction-Cooktop-Common-36-Inch-Actual-36-in/1000133919</t>
  </si>
  <si>
    <t>https://www.lowes.com/pd/Frigidaire-Gallery-36-in-5-Element-Black-Induction-Cooktop-Common-36-Inch-Actual-36-75-in/1000545197</t>
  </si>
  <si>
    <t>https://www.lowes.com/pd/Frigidaire-36-in-5-Element-Black-Induction-Cooktop-Common-36-Inch-Actual-36-75-in/1000548327</t>
  </si>
  <si>
    <t>PHP9036SJSS</t>
  </si>
  <si>
    <t>https://www.lowes.com/pd/GE-Profile-36-in-5-Element-Stainless-Steel-Induction-Cooktop-Common-36-Inch-Actual-36-125-in/50425896</t>
  </si>
  <si>
    <t>https://www.lowes.com/pd/Bosch-500-30-in-Black-Induction-Cooktop-Common-30-Inch-Actual-31-in/1000194285</t>
  </si>
  <si>
    <t>https://www.lowes.com/pd/Frigidaire-30-in-Black-Induction-Cooktop-Common-30-Inch-Actual-30-75-in/1000545177</t>
  </si>
  <si>
    <t>Fisher &amp; Paykel</t>
  </si>
  <si>
    <t>CI244DTB2 N</t>
  </si>
  <si>
    <t>https://www.lowes.com/pd/Fisher-Paykel-24-in-Black-Induction-Cooktop-Common-24-Inch-Actual-23-625-in/1000384975</t>
  </si>
  <si>
    <t>https://www.whirlpool.com/kitchen/cooking/cooktops/4-burner-elements/p.gold-30-inch-electric-induction-cooktop.gci3061xb.html</t>
  </si>
  <si>
    <t>https://www.kitchenaid.com/major-appliances/cooktops/electric-cooktops/induction-cooktops/p.30-inch-4-element-induction-cooktop,-architect-series-ii.kicu509xss.html</t>
  </si>
  <si>
    <t>https://www.kitchenaid.com/major-appliances/cooktops/electric-cooktops/electric-5-burner-cooktops/p.36-inch-5-element-induction-cooktop,-architect-series-ii.kicu569xss.html</t>
  </si>
  <si>
    <t>ADA,UL,Prop 65</t>
  </si>
  <si>
    <t>https://products.geappliances.com/appliance/gea-specs/PHP9030SJSS</t>
  </si>
  <si>
    <t>https://products.geappliances.com/appliance/gea-specs/PHP9030DJBB</t>
  </si>
  <si>
    <t>https://www.homedepot.com/p/KitchenAid-Architect-Series-II-36-in-Smooth-Surface-Induction-Cooktop-in-Stainless-Steel-with-5-Elements-Including-Bridge-Dual-KICU569XSS/205488713</t>
  </si>
  <si>
    <t>ADA,UL,CSA</t>
  </si>
  <si>
    <t>https://www.homedepot.com/p/Frigidaire-Gallery-30-in-Smooth-Electric-Induction-Cooktop-in-Black-with-4-Elements-FGIC3066TB/304288583</t>
  </si>
  <si>
    <t>NIT8069UC</t>
  </si>
  <si>
    <t>https://www.homedepot.com/p/Bosch-800-Series-30-in-Induction-Cooktop-in-Black-with-4-Elements-NIT8069UC/309191242</t>
  </si>
  <si>
    <t>UL,ADA,CSA</t>
  </si>
  <si>
    <t>https://www.homedepot.com/p/Frigidaire-Gallery-36-in-Smooth-Induction-Cooktop-in-Black-with-5-Elements-FGIC3666TB/304288657</t>
  </si>
  <si>
    <t>ADA,UL</t>
  </si>
  <si>
    <t>https://www.homedepot.com/p/Frigidaire-36-in-Induction-Cooktop-in-Black-with-5-Elements-FFIC3626TB/304289285</t>
  </si>
  <si>
    <t>https://www.homedepot.com/p/Cafe-36-in-Induction-Cooktop-in-Stainless-Steel-with-5-elements-including-Sync-Burners-CHP95362MSS/306389621</t>
  </si>
  <si>
    <t>Thor Kitchen</t>
  </si>
  <si>
    <t>TEC3601I-C1</t>
  </si>
  <si>
    <t>ETL,FCC</t>
  </si>
  <si>
    <t>https://www.homedepot.com/p/Thor-Kitchen-36-in-Glass-Induction-Cooktop-in-Black-with-5-Elements-TEC3601I-C1/308729299</t>
  </si>
  <si>
    <t>Chambers</t>
  </si>
  <si>
    <t>CICT305</t>
  </si>
  <si>
    <t>ETL</t>
  </si>
  <si>
    <t>https://www.homedepot.com/p/Chambers-30-in-Schott-Ceran-Glass-Ceramic-Induction-Cooktop-in-Black-with-4-Elements-including-3-700-Watt-Power-Element-CICT305/309678178</t>
  </si>
  <si>
    <t>HIC3001</t>
  </si>
  <si>
    <t>https://www.homedepot.com/p/Thor-Kitchen-30-in-Glass-Induction-Cooktop-in-Black-with-4-Elements-HIC3001/308736375</t>
  </si>
  <si>
    <t>https://www.homedepot.com/p/Bosch-500-Series-30-in-Induction-Cooktop-in-Black-with-4-SpeedBoost-Elements-including-Two-3-700-Watt-Elements-NIT5068UC/304812437</t>
  </si>
  <si>
    <t>https://www.homedepot.com/p/Frigidaire-30-in-Induction-Cooktop-in-Black-with-4-Elements-FFIC3026TB/304289271</t>
  </si>
  <si>
    <t>NIT8669UC</t>
  </si>
  <si>
    <t>https://www.homedepot.com/p/Bosch-800-Series-36-in-Induction-Cooktop-in-Black-with-5-Elements-NIT8669UC/309191330</t>
  </si>
  <si>
    <t>UL,ADA</t>
  </si>
  <si>
    <t>https://www.homedepot.com/p/Whirlpool-Gold-Series-30-in-Smooth-Surface-Induction-Cooktop-in-Black-with-4-Elements-Including-Boost-Element-GCI3061XB/203622940</t>
  </si>
  <si>
    <t>Ancona</t>
  </si>
  <si>
    <t>AN-2412</t>
  </si>
  <si>
    <t>https://www.homedepot.com/p/Ancona-Chef-36-in-Glass-Ceramic-Induction-Cooktop-in-Black-with-5-Elements-Featuring-Individual-Boost-Function-AN-2412/302454308</t>
  </si>
  <si>
    <t>SINC424220</t>
  </si>
  <si>
    <t>https://www.homedepot.com/p/Summit-Appliance-24-in-Electric-Induction-Cooktop-in-Black-with-4-Elements-SINC424220/300187896</t>
  </si>
  <si>
    <t>https://www.homedepot.com/p/GE-Profile-30-in-Electric-Induction-Cooktop-in-Black-with-4-Elements-and-Exact-Fit-PHP9030DJBB/205974866</t>
  </si>
  <si>
    <t>https://www.homedepot.com/p/Electrolux-36-in-Smooth-Surface-Induction-Cooktop-in-Stainless-Steel-with-5-Elements-EW36IC60LS/203772889</t>
  </si>
  <si>
    <t>https://www.homedepot.com/p/Bosch-800-Series-30-in-Induction-Cooktop-in-Black-with-Stainless-Steel-Trim-4-Elements-NIT8069SUC/309191241</t>
  </si>
  <si>
    <t>https://www.homedepot.com/p/GE-Profile-36-in-Electric-Induction-Cooktop-in-Black-with-5-Elements-and-Exact-Fit-PHP9036DJBB/205974868</t>
  </si>
  <si>
    <t>https://www.homedepot.com/p/Bosch-500-Series-36-in-Induction-Cooktop-in-Black-with-5-SpeedBoost-Elements-including-12-in-5-400-Watt-Element-NIT5668UC/304812452</t>
  </si>
  <si>
    <t>NIT8669SUC</t>
  </si>
  <si>
    <t>https://www.homedepot.com/p/Bosch-800-Series-36-in-Induction-Cooktop-in-Black-with-Stainless-Steel-Trim-5-Elements-NIT8669SUC/309191331</t>
  </si>
  <si>
    <t>AN-2411</t>
  </si>
  <si>
    <t>https://www.homedepot.com/p/Ancona-Elite-36-in-Glass-Ceramic-Induction-Cooktop-in-Black-with-5-Elements-Featuring-Individual-Boost-Function-AN-2411/309908270</t>
  </si>
  <si>
    <t>TEC3001I-C1</t>
  </si>
  <si>
    <t>https://www.homedepot.com/p/Thor-Kitchen-30-in-Glass-Induction-Cooktop-in-Black-with-4-Elements-TEC3001I-C1/308729239</t>
  </si>
  <si>
    <t>Forno</t>
  </si>
  <si>
    <t>FCTIN0539-36</t>
  </si>
  <si>
    <t>https://www.homedepot.com/p/Forno-Venetzia-Bezozzo-36-in-Induction-Cooktop-in-Black-with-5-Elements-FCTIN0539-36/308448027</t>
  </si>
  <si>
    <t>AN-2401</t>
  </si>
  <si>
    <t>https://www.homedepot.com/p/Ancona-Elite-30-in-Glass-Ceramic-Induction-Cooktop-in-Black-with-4-Elements-Featuring-Individual-Boost-Function-AN-2401/309907988</t>
  </si>
  <si>
    <t>https://www.homedepot.com/p/Cafe-30-in-Induction-Cooktop-in-Stainless-Steel-with-5-Elements-including-Sync-Burners-CHP95302MSS/306368174</t>
  </si>
  <si>
    <t>FCTIN0539-30</t>
  </si>
  <si>
    <t>https://www.homedepot.com/p/Forno-Bezozzo-30-in-Induction-Cooktop-in-Black-with-4-Elements-FCTIN0539-30/308447150</t>
  </si>
  <si>
    <t>HIC3601</t>
  </si>
  <si>
    <t>https://www.homedepot.com/p/Thor-Kitchen-36-in-Glass-Induction-Cooktop-in-Black-with-5-Elements-HIC3601/308736779</t>
  </si>
  <si>
    <t>https://www.homedepot.com/p/KitchenAid-Architect-Series-II-30-in-Smooth-Surface-Induction-Cooktop-in-Black-with-4-Elements-Including-Bridge-Element-KICU509XBL/205488593</t>
  </si>
  <si>
    <t>Lycan</t>
  </si>
  <si>
    <t>NEC2401I</t>
  </si>
  <si>
    <t>https://www.homedepot.com/p/Lycan-24-in-Glass-Induction-Cooktop-in-Black-with-4-Elements-NEC2401I/308759185</t>
  </si>
  <si>
    <t>SINC430220</t>
  </si>
  <si>
    <t>https://www.homedepot.com/p/Summit-Appliance-30-in-Radiant-Induction-Cooktop-in-Black-with-4-Elements-SINC430220/204474620</t>
  </si>
  <si>
    <t>Kitchen  Aid</t>
  </si>
  <si>
    <t>Build.com</t>
  </si>
  <si>
    <t>https://www.build.com/kitchenaid-kicu569x/s1084603?uid=2608684</t>
  </si>
  <si>
    <t>https://www.build.com/frigidaire-ffic3626t/s1543696?uid=3631910</t>
  </si>
  <si>
    <t>ADA,CSA,UL</t>
  </si>
  <si>
    <t>https://www.build.com/electrolux-ew36ic60l/s832615?uid=2138989</t>
  </si>
  <si>
    <t>Dacor</t>
  </si>
  <si>
    <t>HICT305BG</t>
  </si>
  <si>
    <t>https://www.build.com/dacor-hict305g/s1464932?uid=3446343</t>
  </si>
  <si>
    <t>https://www.build.com/frigidaire-fpic3677r/s1245687?uid=2975204</t>
  </si>
  <si>
    <t>HICT365BG</t>
  </si>
  <si>
    <t>https://www.build.com/dacor-hict365g/s1464942?uid=3446355</t>
  </si>
  <si>
    <t>https://www.build.com/electrolux-e36ic80qss/s1049019?uid=2545248</t>
  </si>
  <si>
    <t>https://www.build.com/frigidaire-fgic3666t/s1444478?uid=3400251</t>
  </si>
  <si>
    <t>https://www.build.com/ge-php9036/s1116656?uid=2678726</t>
  </si>
  <si>
    <t>https://www.build.com/cafe-chp9536m/s1601771?uid=3824949</t>
  </si>
  <si>
    <t>https://www.build.com/samsung-nz36k7880u/s1374650?uid=3246146</t>
  </si>
  <si>
    <t>https://www.build.com/bertazzoni-p365ia/s1317432?uid=3125206</t>
  </si>
  <si>
    <t>https://www.build.com/thor-kitchen-tec3601i-c2/s1626949?uid=3863212</t>
  </si>
  <si>
    <t>https://www.build.com/thor-kitchen-hic3601/s1626943?uid=3863206</t>
  </si>
  <si>
    <t>https://www.frigidaire.com/Kitchen-Appliances/Cooktops/Induction-Cooktops/FPIC3677RF/</t>
  </si>
  <si>
    <t>https://www.frigidaire.com/Kitchen-Appliances/Cooktops/Induction-Cooktops/FPIC3077RF/</t>
  </si>
  <si>
    <t>https://www.frigidaire.com/Kitchen-Appliances/Cooktops/Induction-Cooktops/FGIC3066TB/</t>
  </si>
  <si>
    <t>https://www.frigidaire.com/Kitchen-Appliances/Cooktops/Induction-Cooktops/FFIC3626TB/</t>
  </si>
  <si>
    <t>https://www.frigidaire.com/Kitchen-Appliances/Cooktops/Induction-Cooktops/FFIC3026TB/</t>
  </si>
  <si>
    <t>F7IT36S1</t>
  </si>
  <si>
    <t>https://www.ajmadison.com/cgi-bin/ajmadison/F7IT36S1.html</t>
  </si>
  <si>
    <t>https://www.ajmadison.com/cgi-bin/ajmadison/E36IC80QSS.html</t>
  </si>
  <si>
    <t>https://www.ajmadison.com/cgi-bin/ajmadison/P365IAE.html</t>
  </si>
  <si>
    <t>https://www.ajmadison.com/cgi-bin/ajmadison/NZ36K7880U.html</t>
  </si>
  <si>
    <t>Smeg</t>
  </si>
  <si>
    <t>SIMU536B</t>
  </si>
  <si>
    <t>https://www.ajmadison.com/cgi-bin/ajmadison/SIMU536B.html</t>
  </si>
  <si>
    <t>https://www.ajmadison.com/cgi-bin/ajmadison/NZ30K7880U.html</t>
  </si>
  <si>
    <t>https://www.ajmadison.com/cgi-bin/ajmadison/HICT305BG.html</t>
  </si>
  <si>
    <t>https://www.ajmadison.com/cgi-bin/ajmadison/EW36IC60LS.html</t>
  </si>
  <si>
    <t>https://www.ajmadison.com/cgi-bin/ajmadison/CHP95362MSS.html</t>
  </si>
  <si>
    <t>https://www.ajmadison.com/cgi-bin/ajmadison/PHP9036DJBV.html</t>
  </si>
  <si>
    <t>https://www.ajmadison.com/cgi-bin/ajmadison/FGIC3666TB.html</t>
  </si>
  <si>
    <t>Equipment Type</t>
  </si>
  <si>
    <t xml:space="preserve">Notes: </t>
  </si>
  <si>
    <t>Material Cost</t>
  </si>
  <si>
    <t>Equipment</t>
  </si>
  <si>
    <t>Baseline</t>
  </si>
  <si>
    <t>Measure</t>
  </si>
  <si>
    <t>RSMeans:
Max: 113013150050
Min: 11313150020</t>
  </si>
  <si>
    <t>RSMeans:
Max: 113013150950
Min: 113013150900</t>
  </si>
  <si>
    <t>Induction Cooktop</t>
  </si>
  <si>
    <t>Electric Resistance Cooktop</t>
  </si>
  <si>
    <t>Electric Oven with Electric Resistance Cooktop</t>
  </si>
  <si>
    <t>Electric Oven with Induction Cooktop</t>
  </si>
  <si>
    <t>Electric Resistance to Induction IMC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</si>
</sst>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sz val="8"/>
      <color rgb="FF80808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94">
    <xf numFmtId="0" fontId="0" fillId="0" borderId="0" xfId="0"/>
    <xf numFmtId="164" fontId="0" fillId="0" borderId="0" xfId="0" applyNumberFormat="1"/>
    <xf numFmtId="0" fontId="0" fillId="2" borderId="1" xfId="0" applyFill="1" applyBorder="1"/>
    <xf numFmtId="164" fontId="0" fillId="0" borderId="1" xfId="0" applyNumberFormat="1" applyBorder="1"/>
    <xf numFmtId="1" fontId="0" fillId="0" borderId="1" xfId="0" applyNumberFormat="1" applyBorder="1"/>
    <xf numFmtId="0" fontId="0" fillId="3" borderId="1" xfId="0" applyFill="1" applyBorder="1"/>
    <xf numFmtId="44" fontId="0" fillId="2" borderId="1" xfId="1" applyFont="1" applyFill="1" applyBorder="1"/>
    <xf numFmtId="44" fontId="0" fillId="0" borderId="1" xfId="1" applyFont="1" applyBorder="1"/>
    <xf numFmtId="0" fontId="0" fillId="0" borderId="1" xfId="0" applyBorder="1"/>
    <xf numFmtId="44" fontId="0" fillId="0" borderId="1" xfId="0" applyNumberFormat="1" applyBorder="1"/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44" fontId="0" fillId="5" borderId="3" xfId="1" applyFont="1" applyFill="1" applyBorder="1" applyAlignment="1">
      <alignment horizontal="center" vertical="center"/>
    </xf>
    <xf numFmtId="0" fontId="0" fillId="5" borderId="4" xfId="0" applyFill="1" applyBorder="1" applyAlignment="1">
      <alignment horizontal="left" vertical="center"/>
    </xf>
    <xf numFmtId="44" fontId="0" fillId="0" borderId="0" xfId="1" applyFont="1" applyBorder="1"/>
    <xf numFmtId="44" fontId="0" fillId="0" borderId="8" xfId="1" applyFon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44" fontId="0" fillId="0" borderId="1" xfId="1" applyNumberFormat="1" applyFont="1" applyBorder="1"/>
    <xf numFmtId="0" fontId="0" fillId="0" borderId="0" xfId="0" applyFill="1" applyBorder="1" applyAlignment="1">
      <alignment horizontal="center"/>
    </xf>
    <xf numFmtId="0" fontId="0" fillId="5" borderId="2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0" fillId="5" borderId="3" xfId="0" applyFont="1" applyFill="1" applyBorder="1" applyAlignment="1">
      <alignment horizontal="left" vertical="center"/>
    </xf>
    <xf numFmtId="44" fontId="0" fillId="5" borderId="3" xfId="1" applyFont="1" applyFill="1" applyBorder="1" applyAlignment="1">
      <alignment horizontal="left" vertical="center"/>
    </xf>
    <xf numFmtId="0" fontId="6" fillId="0" borderId="5" xfId="0" applyFont="1" applyBorder="1"/>
    <xf numFmtId="0" fontId="6" fillId="0" borderId="0" xfId="0" applyFont="1" applyBorder="1"/>
    <xf numFmtId="0" fontId="6" fillId="0" borderId="0" xfId="0" applyFont="1" applyBorder="1" applyAlignment="1">
      <alignment vertical="center" wrapText="1"/>
    </xf>
    <xf numFmtId="44" fontId="0" fillId="0" borderId="0" xfId="1" applyFont="1" applyBorder="1" applyAlignment="1">
      <alignment wrapText="1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Font="1" applyBorder="1" applyAlignment="1">
      <alignment horizontal="left"/>
    </xf>
    <xf numFmtId="44" fontId="0" fillId="0" borderId="0" xfId="1" applyFont="1" applyBorder="1" applyAlignment="1">
      <alignment horizontal="left"/>
    </xf>
    <xf numFmtId="0" fontId="0" fillId="0" borderId="0" xfId="0" applyFill="1" applyBorder="1" applyAlignment="1">
      <alignment horizontal="left"/>
    </xf>
    <xf numFmtId="2" fontId="0" fillId="0" borderId="0" xfId="0" applyNumberFormat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0" xfId="0" applyFont="1" applyBorder="1"/>
    <xf numFmtId="0" fontId="0" fillId="0" borderId="5" xfId="0" applyFont="1" applyBorder="1" applyAlignment="1">
      <alignment horizontal="left"/>
    </xf>
    <xf numFmtId="2" fontId="0" fillId="0" borderId="0" xfId="0" applyNumberFormat="1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4" fontId="6" fillId="0" borderId="0" xfId="1" applyFont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vertical="center" wrapText="1"/>
    </xf>
    <xf numFmtId="0" fontId="0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7" fillId="0" borderId="8" xfId="0" applyFont="1" applyBorder="1" applyAlignment="1">
      <alignment vertical="center" wrapText="1"/>
    </xf>
    <xf numFmtId="0" fontId="0" fillId="0" borderId="8" xfId="0" applyFont="1" applyBorder="1" applyAlignment="1">
      <alignment horizontal="left"/>
    </xf>
    <xf numFmtId="44" fontId="0" fillId="0" borderId="8" xfId="1" applyFont="1" applyBorder="1" applyAlignment="1">
      <alignment horizontal="left"/>
    </xf>
    <xf numFmtId="2" fontId="0" fillId="0" borderId="8" xfId="0" applyNumberFormat="1" applyFont="1" applyBorder="1" applyAlignment="1">
      <alignment horizontal="left"/>
    </xf>
    <xf numFmtId="2" fontId="0" fillId="0" borderId="8" xfId="0" applyNumberFormat="1" applyBorder="1" applyAlignment="1">
      <alignment horizontal="left"/>
    </xf>
    <xf numFmtId="0" fontId="2" fillId="4" borderId="13" xfId="0" applyFont="1" applyFill="1" applyBorder="1" applyAlignment="1">
      <alignment horizontal="center" wrapText="1"/>
    </xf>
    <xf numFmtId="0" fontId="2" fillId="4" borderId="14" xfId="0" applyFont="1" applyFill="1" applyBorder="1" applyAlignment="1">
      <alignment horizontal="center" wrapText="1"/>
    </xf>
    <xf numFmtId="0" fontId="2" fillId="4" borderId="15" xfId="0" applyFont="1" applyFill="1" applyBorder="1" applyAlignment="1">
      <alignment horizontal="center" wrapText="1"/>
    </xf>
    <xf numFmtId="0" fontId="0" fillId="3" borderId="12" xfId="0" applyFill="1" applyBorder="1" applyAlignment="1">
      <alignment horizontal="center" vertical="center"/>
    </xf>
    <xf numFmtId="0" fontId="6" fillId="4" borderId="1" xfId="0" applyFont="1" applyFill="1" applyBorder="1"/>
    <xf numFmtId="0" fontId="6" fillId="7" borderId="1" xfId="0" applyFont="1" applyFill="1" applyBorder="1"/>
    <xf numFmtId="0" fontId="0" fillId="3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16" xfId="0" applyBorder="1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164" fontId="0" fillId="0" borderId="19" xfId="1" applyNumberFormat="1" applyFont="1" applyBorder="1" applyAlignment="1">
      <alignment vertical="center"/>
    </xf>
    <xf numFmtId="164" fontId="0" fillId="0" borderId="20" xfId="1" applyNumberFormat="1" applyFont="1" applyBorder="1" applyAlignment="1">
      <alignment vertical="center"/>
    </xf>
    <xf numFmtId="0" fontId="0" fillId="0" borderId="6" xfId="0" applyFill="1" applyBorder="1"/>
    <xf numFmtId="0" fontId="0" fillId="0" borderId="9" xfId="0" applyFill="1" applyBorder="1"/>
    <xf numFmtId="0" fontId="6" fillId="0" borderId="6" xfId="0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6" fillId="0" borderId="6" xfId="0" applyFont="1" applyFill="1" applyBorder="1"/>
    <xf numFmtId="0" fontId="6" fillId="0" borderId="6" xfId="2" applyFont="1" applyBorder="1"/>
    <xf numFmtId="44" fontId="0" fillId="9" borderId="1" xfId="0" applyNumberFormat="1" applyFill="1" applyBorder="1"/>
    <xf numFmtId="164" fontId="0" fillId="0" borderId="17" xfId="1" applyNumberFormat="1" applyFont="1" applyBorder="1" applyAlignment="1">
      <alignment vertical="center" wrapText="1"/>
    </xf>
    <xf numFmtId="164" fontId="0" fillId="0" borderId="20" xfId="1" applyNumberFormat="1" applyFont="1" applyBorder="1" applyAlignment="1">
      <alignment vertical="center" wrapText="1"/>
    </xf>
    <xf numFmtId="0" fontId="0" fillId="2" borderId="21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6" borderId="11" xfId="0" applyFill="1" applyBorder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7</xdr:col>
      <xdr:colOff>1718094</xdr:colOff>
      <xdr:row>25</xdr:row>
      <xdr:rowOff>54531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27215E3-E10D-40F2-9E77-F6E2351BB7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3238500"/>
          <a:ext cx="10217115" cy="3674031"/>
        </a:xfrm>
        <a:prstGeom prst="rect">
          <a:avLst/>
        </a:prstGeom>
      </xdr:spPr>
    </xdr:pic>
    <xdr:clientData/>
  </xdr:twoCellAnchor>
  <xdr:twoCellAnchor editAs="oneCell">
    <xdr:from>
      <xdr:col>8</xdr:col>
      <xdr:colOff>598715</xdr:colOff>
      <xdr:row>2</xdr:row>
      <xdr:rowOff>0</xdr:rowOff>
    </xdr:from>
    <xdr:to>
      <xdr:col>29</xdr:col>
      <xdr:colOff>387584</xdr:colOff>
      <xdr:row>3</xdr:row>
      <xdr:rowOff>340179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914E8BF-EEF5-47A5-B940-925F39559C5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61756"/>
        <a:stretch/>
      </xdr:blipFill>
      <xdr:spPr>
        <a:xfrm>
          <a:off x="12804322" y="408214"/>
          <a:ext cx="12647619" cy="721179"/>
        </a:xfrm>
        <a:prstGeom prst="rect">
          <a:avLst/>
        </a:prstGeom>
      </xdr:spPr>
    </xdr:pic>
    <xdr:clientData/>
  </xdr:twoCellAnchor>
  <xdr:twoCellAnchor editAs="oneCell">
    <xdr:from>
      <xdr:col>8</xdr:col>
      <xdr:colOff>549089</xdr:colOff>
      <xdr:row>3</xdr:row>
      <xdr:rowOff>291353</xdr:rowOff>
    </xdr:from>
    <xdr:to>
      <xdr:col>29</xdr:col>
      <xdr:colOff>381001</xdr:colOff>
      <xdr:row>4</xdr:row>
      <xdr:rowOff>215091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B5017EB-957D-4936-AF6C-E259D3DDD6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752295" y="1075765"/>
          <a:ext cx="12539382" cy="4952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9" dT="2019-08-09T19:15:17.71" personId="{00000000-0000-0000-0000-000000000000}" id="{06577E56-9E71-4335-8BAA-752B6B3C493E}">
    <text>Sum of Upper Watt Range Values for Burners</text>
  </threadedComment>
  <threadedComment ref="K88" dT="2019-08-09T19:15:17.71" personId="{00000000-0000-0000-0000-000000000000}" id="{544BFA21-52A8-44E7-9484-6F574B357F4B}">
    <text>Sum of Upper Watt Range Values for Burners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04EB0-47BA-4EF5-8D64-4109A6B7071F}">
  <sheetPr>
    <tabColor theme="9" tint="0.79998168889431442"/>
  </sheetPr>
  <dimension ref="B2:M6"/>
  <sheetViews>
    <sheetView tabSelected="1" workbookViewId="0">
      <selection activeCell="C6" sqref="C6"/>
    </sheetView>
  </sheetViews>
  <sheetFormatPr defaultRowHeight="14.4" x14ac:dyDescent="0.3"/>
  <cols>
    <col min="2" max="2" width="44" bestFit="1" customWidth="1"/>
    <col min="3" max="3" width="10.5546875" bestFit="1" customWidth="1"/>
    <col min="4" max="4" width="7.5546875" bestFit="1" customWidth="1"/>
    <col min="5" max="5" width="9.6640625" bestFit="1" customWidth="1"/>
    <col min="6" max="6" width="12.6640625" bestFit="1" customWidth="1"/>
    <col min="7" max="7" width="43.44140625" bestFit="1" customWidth="1"/>
    <col min="8" max="8" width="12.6640625" bestFit="1" customWidth="1"/>
    <col min="9" max="9" width="10.109375" bestFit="1" customWidth="1"/>
    <col min="10" max="10" width="44" bestFit="1" customWidth="1"/>
    <col min="11" max="11" width="12.6640625" bestFit="1" customWidth="1"/>
    <col min="12" max="12" width="10.109375" bestFit="1" customWidth="1"/>
  </cols>
  <sheetData>
    <row r="2" spans="2:13" x14ac:dyDescent="0.3">
      <c r="B2" s="69" t="s">
        <v>507</v>
      </c>
      <c r="C2" s="69" t="s">
        <v>1</v>
      </c>
      <c r="D2" s="69" t="s">
        <v>2</v>
      </c>
      <c r="E2" s="69" t="s">
        <v>0</v>
      </c>
      <c r="G2" s="89" t="s">
        <v>511</v>
      </c>
      <c r="H2" s="89"/>
      <c r="I2" s="89"/>
      <c r="J2" s="89" t="s">
        <v>512</v>
      </c>
      <c r="K2" s="89"/>
      <c r="L2" s="89"/>
    </row>
    <row r="3" spans="2:13" x14ac:dyDescent="0.3">
      <c r="B3" s="67" t="s">
        <v>517</v>
      </c>
      <c r="C3" s="9">
        <f>Range!$C$3</f>
        <v>708.00347826086943</v>
      </c>
      <c r="D3" s="4">
        <f>Range!$D$3</f>
        <v>23</v>
      </c>
      <c r="E3" s="86"/>
      <c r="G3" s="70" t="s">
        <v>510</v>
      </c>
      <c r="H3" s="70" t="s">
        <v>509</v>
      </c>
      <c r="I3" s="70" t="s">
        <v>5</v>
      </c>
      <c r="J3" s="70" t="s">
        <v>510</v>
      </c>
      <c r="K3" s="70" t="s">
        <v>509</v>
      </c>
      <c r="L3" s="70" t="s">
        <v>5</v>
      </c>
      <c r="M3" s="70" t="s">
        <v>0</v>
      </c>
    </row>
    <row r="4" spans="2:13" x14ac:dyDescent="0.3">
      <c r="B4" s="67" t="s">
        <v>518</v>
      </c>
      <c r="C4" s="9">
        <f>Range!$C$4</f>
        <v>1657.2341666666664</v>
      </c>
      <c r="D4" s="4">
        <f>Range!$D$4</f>
        <v>24</v>
      </c>
      <c r="E4" s="9">
        <f>$C$4-$C$3</f>
        <v>949.23068840579697</v>
      </c>
      <c r="G4" s="8" t="s">
        <v>516</v>
      </c>
      <c r="H4" s="3">
        <f>ROUND(INDEX($C$3:$C$6,MATCH($G4,$B$3:$B$6,0)),2)</f>
        <v>948.51</v>
      </c>
      <c r="I4" s="3">
        <f>Labor!$G$5</f>
        <v>135.1</v>
      </c>
      <c r="J4" s="8" t="s">
        <v>515</v>
      </c>
      <c r="K4" s="3">
        <f>ROUND(INDEX($C$3:$C$6,MATCH($J4,$B$3:$B$6,0)),2)</f>
        <v>1635.56</v>
      </c>
      <c r="L4" s="3">
        <f>Labor!$G$5</f>
        <v>135.1</v>
      </c>
      <c r="M4" s="3">
        <f>($K4+$L4)-($H4+$I4)</f>
        <v>687.05</v>
      </c>
    </row>
    <row r="5" spans="2:13" x14ac:dyDescent="0.3">
      <c r="B5" s="68" t="s">
        <v>516</v>
      </c>
      <c r="C5" s="9">
        <f>Cooktop!$C$3</f>
        <v>948.50855263157882</v>
      </c>
      <c r="D5" s="4">
        <f>Cooktop!$D$3</f>
        <v>76</v>
      </c>
      <c r="E5" s="86"/>
      <c r="G5" s="8" t="s">
        <v>517</v>
      </c>
      <c r="H5" s="3">
        <f>ROUND(INDEX($C$3:$C$6,MATCH($G5,$B$3:$B$6,0)),2)</f>
        <v>708</v>
      </c>
      <c r="I5" s="3">
        <f>Labor!$G$4</f>
        <v>189.14</v>
      </c>
      <c r="J5" s="8" t="s">
        <v>518</v>
      </c>
      <c r="K5" s="3">
        <f>ROUND(INDEX($C$3:$C$6,MATCH($J5,$B$3:$B$6,0)),2)</f>
        <v>1657.23</v>
      </c>
      <c r="L5" s="3">
        <f>Labor!$G$4</f>
        <v>189.14</v>
      </c>
      <c r="M5" s="3">
        <f t="shared" ref="M5" si="0">($K5+$L5)-($H5+$I5)</f>
        <v>949.2299999999999</v>
      </c>
    </row>
    <row r="6" spans="2:13" x14ac:dyDescent="0.3">
      <c r="B6" s="68" t="s">
        <v>515</v>
      </c>
      <c r="C6" s="9">
        <f>Cooktop!$C$4</f>
        <v>1635.5599122807032</v>
      </c>
      <c r="D6" s="4">
        <f>Cooktop!$D$4</f>
        <v>114</v>
      </c>
      <c r="E6" s="9">
        <f>$C$6-$C$5</f>
        <v>687.05135964912438</v>
      </c>
    </row>
  </sheetData>
  <mergeCells count="2">
    <mergeCell ref="G2:I2"/>
    <mergeCell ref="J2:L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</sheetPr>
  <dimension ref="B2:W59"/>
  <sheetViews>
    <sheetView zoomScale="70" zoomScaleNormal="70" workbookViewId="0">
      <selection activeCell="E22" sqref="E22"/>
    </sheetView>
  </sheetViews>
  <sheetFormatPr defaultRowHeight="14.4" x14ac:dyDescent="0.3"/>
  <cols>
    <col min="2" max="2" width="35.44140625" bestFit="1" customWidth="1"/>
    <col min="3" max="3" width="16.33203125" bestFit="1" customWidth="1"/>
    <col min="4" max="4" width="12" bestFit="1" customWidth="1"/>
    <col min="5" max="5" width="11.33203125" bestFit="1" customWidth="1"/>
    <col min="6" max="6" width="12.5546875" bestFit="1" customWidth="1"/>
    <col min="7" max="7" width="13.5546875" bestFit="1" customWidth="1"/>
    <col min="8" max="8" width="23.5546875" bestFit="1" customWidth="1"/>
    <col min="9" max="9" width="28.33203125" bestFit="1" customWidth="1"/>
    <col min="10" max="10" width="25.6640625" bestFit="1" customWidth="1"/>
    <col min="11" max="11" width="14.44140625" bestFit="1" customWidth="1"/>
    <col min="12" max="12" width="199.109375" bestFit="1" customWidth="1"/>
    <col min="13" max="13" width="16.109375" bestFit="1" customWidth="1"/>
    <col min="14" max="14" width="18.33203125" bestFit="1" customWidth="1"/>
    <col min="15" max="15" width="13.5546875" bestFit="1" customWidth="1"/>
    <col min="16" max="16" width="17" bestFit="1" customWidth="1"/>
    <col min="17" max="17" width="15.5546875" bestFit="1" customWidth="1"/>
    <col min="18" max="18" width="21.44140625" bestFit="1" customWidth="1"/>
    <col min="19" max="19" width="11.88671875" bestFit="1" customWidth="1"/>
    <col min="20" max="20" width="16.6640625" bestFit="1" customWidth="1"/>
    <col min="21" max="21" width="8.44140625" bestFit="1" customWidth="1"/>
    <col min="23" max="23" width="175" bestFit="1" customWidth="1"/>
  </cols>
  <sheetData>
    <row r="2" spans="2:12" x14ac:dyDescent="0.3">
      <c r="C2" s="6" t="s">
        <v>1</v>
      </c>
      <c r="D2" s="2" t="s">
        <v>2</v>
      </c>
    </row>
    <row r="3" spans="2:12" x14ac:dyDescent="0.3">
      <c r="B3" s="5" t="s">
        <v>3</v>
      </c>
      <c r="C3" s="7">
        <f>AVERAGE($D$10:$D$32)</f>
        <v>708.00347826086943</v>
      </c>
      <c r="D3" s="8">
        <f>COUNTA($B$10:$B$32)</f>
        <v>23</v>
      </c>
    </row>
    <row r="4" spans="2:12" x14ac:dyDescent="0.3">
      <c r="B4" s="5" t="s">
        <v>4</v>
      </c>
      <c r="C4" s="29">
        <f>AVERAGE($E$36:$E$59)</f>
        <v>1657.2341666666664</v>
      </c>
      <c r="D4" s="8">
        <f>COUNTA($B$36:$B$59)</f>
        <v>24</v>
      </c>
    </row>
    <row r="6" spans="2:12" x14ac:dyDescent="0.3">
      <c r="B6" s="5" t="s">
        <v>519</v>
      </c>
      <c r="C6" s="9">
        <f>$C$4-$C$3</f>
        <v>949.23068840579697</v>
      </c>
    </row>
    <row r="7" spans="2:12" ht="15" thickBot="1" x14ac:dyDescent="0.35"/>
    <row r="8" spans="2:12" ht="15" thickBot="1" x14ac:dyDescent="0.35">
      <c r="B8" s="90" t="s">
        <v>92</v>
      </c>
      <c r="C8" s="91"/>
    </row>
    <row r="9" spans="2:12" x14ac:dyDescent="0.3">
      <c r="B9" s="10" t="s">
        <v>14</v>
      </c>
      <c r="C9" s="11" t="s">
        <v>15</v>
      </c>
      <c r="D9" s="19" t="s">
        <v>1</v>
      </c>
      <c r="E9" s="11" t="s">
        <v>16</v>
      </c>
      <c r="F9" s="11" t="s">
        <v>17</v>
      </c>
      <c r="G9" s="11" t="s">
        <v>18</v>
      </c>
      <c r="H9" s="11" t="s">
        <v>19</v>
      </c>
      <c r="I9" s="11" t="s">
        <v>33</v>
      </c>
      <c r="J9" s="11" t="s">
        <v>34</v>
      </c>
      <c r="K9" s="11" t="s">
        <v>35</v>
      </c>
      <c r="L9" s="20" t="s">
        <v>21</v>
      </c>
    </row>
    <row r="10" spans="2:12" x14ac:dyDescent="0.3">
      <c r="B10" s="14" t="s">
        <v>22</v>
      </c>
      <c r="C10" s="15" t="s">
        <v>49</v>
      </c>
      <c r="D10" s="21">
        <v>719.1</v>
      </c>
      <c r="E10" s="15" t="s">
        <v>23</v>
      </c>
      <c r="F10" s="15" t="s">
        <v>36</v>
      </c>
      <c r="G10" s="15" t="s">
        <v>37</v>
      </c>
      <c r="H10" s="15">
        <v>5.3</v>
      </c>
      <c r="I10" s="15" t="s">
        <v>38</v>
      </c>
      <c r="J10" s="15">
        <v>1</v>
      </c>
      <c r="K10" s="15" t="s">
        <v>39</v>
      </c>
      <c r="L10" s="79" t="s">
        <v>54</v>
      </c>
    </row>
    <row r="11" spans="2:12" x14ac:dyDescent="0.3">
      <c r="B11" s="14" t="s">
        <v>40</v>
      </c>
      <c r="C11" s="15" t="s">
        <v>50</v>
      </c>
      <c r="D11" s="21">
        <v>698.4</v>
      </c>
      <c r="E11" s="15" t="s">
        <v>23</v>
      </c>
      <c r="F11" s="15" t="s">
        <v>36</v>
      </c>
      <c r="G11" s="15" t="s">
        <v>41</v>
      </c>
      <c r="H11" s="15">
        <v>5.9</v>
      </c>
      <c r="I11" s="15" t="s">
        <v>44</v>
      </c>
      <c r="J11" s="15">
        <v>1</v>
      </c>
      <c r="K11" s="15" t="s">
        <v>39</v>
      </c>
      <c r="L11" s="79" t="s">
        <v>55</v>
      </c>
    </row>
    <row r="12" spans="2:12" x14ac:dyDescent="0.3">
      <c r="B12" s="14" t="s">
        <v>22</v>
      </c>
      <c r="C12" s="15" t="s">
        <v>51</v>
      </c>
      <c r="D12" s="21">
        <v>764.1</v>
      </c>
      <c r="E12" s="15" t="s">
        <v>23</v>
      </c>
      <c r="F12" s="15" t="s">
        <v>36</v>
      </c>
      <c r="G12" s="15" t="s">
        <v>41</v>
      </c>
      <c r="H12" s="15">
        <v>5.3</v>
      </c>
      <c r="I12" s="15" t="s">
        <v>38</v>
      </c>
      <c r="J12" s="15">
        <v>1</v>
      </c>
      <c r="K12" s="15" t="s">
        <v>39</v>
      </c>
      <c r="L12" s="79" t="s">
        <v>56</v>
      </c>
    </row>
    <row r="13" spans="2:12" x14ac:dyDescent="0.3">
      <c r="B13" s="14" t="s">
        <v>22</v>
      </c>
      <c r="C13" s="15" t="s">
        <v>52</v>
      </c>
      <c r="D13" s="21">
        <v>899.1</v>
      </c>
      <c r="E13" s="15" t="s">
        <v>23</v>
      </c>
      <c r="F13" s="15" t="s">
        <v>36</v>
      </c>
      <c r="G13" s="15" t="s">
        <v>41</v>
      </c>
      <c r="H13" s="15">
        <v>5.3</v>
      </c>
      <c r="I13" s="15" t="s">
        <v>42</v>
      </c>
      <c r="J13" s="15">
        <v>1</v>
      </c>
      <c r="K13" s="15" t="s">
        <v>39</v>
      </c>
      <c r="L13" s="79" t="s">
        <v>57</v>
      </c>
    </row>
    <row r="14" spans="2:12" x14ac:dyDescent="0.3">
      <c r="B14" s="14" t="s">
        <v>40</v>
      </c>
      <c r="C14" s="15" t="s">
        <v>53</v>
      </c>
      <c r="D14" s="21">
        <v>1214.0999999999999</v>
      </c>
      <c r="E14" s="15" t="s">
        <v>23</v>
      </c>
      <c r="F14" s="15" t="s">
        <v>36</v>
      </c>
      <c r="G14" s="15" t="s">
        <v>41</v>
      </c>
      <c r="H14" s="15">
        <v>5.9</v>
      </c>
      <c r="I14" s="15" t="s">
        <v>42</v>
      </c>
      <c r="J14" s="15">
        <v>1</v>
      </c>
      <c r="K14" s="15" t="s">
        <v>48</v>
      </c>
      <c r="L14" s="79" t="s">
        <v>58</v>
      </c>
    </row>
    <row r="15" spans="2:12" x14ac:dyDescent="0.3">
      <c r="B15" s="14" t="s">
        <v>27</v>
      </c>
      <c r="C15" s="15" t="s">
        <v>59</v>
      </c>
      <c r="D15" s="21">
        <v>648</v>
      </c>
      <c r="E15" s="15" t="s">
        <v>23</v>
      </c>
      <c r="F15" s="15" t="s">
        <v>36</v>
      </c>
      <c r="G15" s="15" t="s">
        <v>41</v>
      </c>
      <c r="H15" s="15">
        <v>5.3</v>
      </c>
      <c r="I15" s="15" t="s">
        <v>38</v>
      </c>
      <c r="J15" s="15">
        <v>1</v>
      </c>
      <c r="K15" s="15" t="s">
        <v>39</v>
      </c>
      <c r="L15" s="79" t="s">
        <v>60</v>
      </c>
    </row>
    <row r="16" spans="2:12" x14ac:dyDescent="0.3">
      <c r="B16" s="14" t="s">
        <v>25</v>
      </c>
      <c r="C16" s="15" t="s">
        <v>61</v>
      </c>
      <c r="D16" s="21">
        <v>683</v>
      </c>
      <c r="E16" s="15" t="s">
        <v>23</v>
      </c>
      <c r="F16" s="15" t="s">
        <v>36</v>
      </c>
      <c r="G16" s="15" t="s">
        <v>41</v>
      </c>
      <c r="H16" s="15">
        <v>5.3</v>
      </c>
      <c r="I16" s="15" t="s">
        <v>38</v>
      </c>
      <c r="J16" s="15">
        <v>1</v>
      </c>
      <c r="K16" s="15" t="s">
        <v>39</v>
      </c>
      <c r="L16" s="79" t="s">
        <v>62</v>
      </c>
    </row>
    <row r="17" spans="2:12" x14ac:dyDescent="0.3">
      <c r="B17" s="14" t="s">
        <v>40</v>
      </c>
      <c r="C17" s="15" t="s">
        <v>63</v>
      </c>
      <c r="D17" s="21">
        <v>719.99</v>
      </c>
      <c r="E17" s="15" t="s">
        <v>23</v>
      </c>
      <c r="F17" s="15" t="s">
        <v>36</v>
      </c>
      <c r="G17" s="15" t="s">
        <v>37</v>
      </c>
      <c r="H17" s="15">
        <v>5.9</v>
      </c>
      <c r="I17" s="15" t="s">
        <v>42</v>
      </c>
      <c r="J17" s="15">
        <v>1</v>
      </c>
      <c r="K17" s="15" t="s">
        <v>39</v>
      </c>
      <c r="L17" s="79" t="s">
        <v>66</v>
      </c>
    </row>
    <row r="18" spans="2:12" x14ac:dyDescent="0.3">
      <c r="B18" s="14" t="s">
        <v>40</v>
      </c>
      <c r="C18" s="15" t="s">
        <v>64</v>
      </c>
      <c r="D18" s="21">
        <v>1199.99</v>
      </c>
      <c r="E18" s="15" t="s">
        <v>23</v>
      </c>
      <c r="F18" s="15" t="s">
        <v>43</v>
      </c>
      <c r="G18" s="15" t="s">
        <v>41</v>
      </c>
      <c r="H18" s="15">
        <v>5.8</v>
      </c>
      <c r="I18" s="15" t="s">
        <v>42</v>
      </c>
      <c r="J18" s="15">
        <v>1</v>
      </c>
      <c r="K18" s="15" t="s">
        <v>39</v>
      </c>
      <c r="L18" s="79" t="s">
        <v>67</v>
      </c>
    </row>
    <row r="19" spans="2:12" x14ac:dyDescent="0.3">
      <c r="B19" s="14" t="s">
        <v>40</v>
      </c>
      <c r="C19" s="15" t="s">
        <v>65</v>
      </c>
      <c r="D19" s="21">
        <v>529.99</v>
      </c>
      <c r="E19" s="15" t="s">
        <v>23</v>
      </c>
      <c r="F19" s="15" t="s">
        <v>36</v>
      </c>
      <c r="G19" s="15" t="s">
        <v>41</v>
      </c>
      <c r="H19" s="15">
        <v>5.9</v>
      </c>
      <c r="I19" s="15" t="s">
        <v>38</v>
      </c>
      <c r="J19" s="15">
        <v>1</v>
      </c>
      <c r="K19" s="15" t="s">
        <v>39</v>
      </c>
      <c r="L19" s="79" t="s">
        <v>68</v>
      </c>
    </row>
    <row r="20" spans="2:12" x14ac:dyDescent="0.3">
      <c r="B20" s="14" t="s">
        <v>25</v>
      </c>
      <c r="C20" s="15" t="s">
        <v>69</v>
      </c>
      <c r="D20" s="21">
        <v>549.99</v>
      </c>
      <c r="E20" s="15" t="s">
        <v>23</v>
      </c>
      <c r="F20" s="15" t="s">
        <v>36</v>
      </c>
      <c r="G20" s="15" t="s">
        <v>32</v>
      </c>
      <c r="H20" s="15">
        <v>5</v>
      </c>
      <c r="I20" s="15" t="s">
        <v>38</v>
      </c>
      <c r="J20" s="15">
        <v>1</v>
      </c>
      <c r="K20" s="15" t="s">
        <v>47</v>
      </c>
      <c r="L20" s="79" t="s">
        <v>71</v>
      </c>
    </row>
    <row r="21" spans="2:12" x14ac:dyDescent="0.3">
      <c r="B21" s="14" t="s">
        <v>25</v>
      </c>
      <c r="C21" s="15" t="s">
        <v>70</v>
      </c>
      <c r="D21" s="21">
        <v>639.99</v>
      </c>
      <c r="E21" s="15" t="s">
        <v>23</v>
      </c>
      <c r="F21" s="15" t="s">
        <v>36</v>
      </c>
      <c r="G21" s="15" t="s">
        <v>37</v>
      </c>
      <c r="H21" s="15">
        <v>5.3</v>
      </c>
      <c r="I21" s="15" t="s">
        <v>42</v>
      </c>
      <c r="J21" s="15">
        <v>1</v>
      </c>
      <c r="K21" s="15" t="s">
        <v>39</v>
      </c>
      <c r="L21" s="79" t="s">
        <v>72</v>
      </c>
    </row>
    <row r="22" spans="2:12" x14ac:dyDescent="0.3">
      <c r="B22" s="14" t="s">
        <v>24</v>
      </c>
      <c r="C22" s="15" t="s">
        <v>73</v>
      </c>
      <c r="D22" s="21">
        <v>778.77</v>
      </c>
      <c r="E22" s="15" t="s">
        <v>23</v>
      </c>
      <c r="F22" s="15" t="s">
        <v>36</v>
      </c>
      <c r="G22" s="15" t="s">
        <v>32</v>
      </c>
      <c r="H22" s="15">
        <v>5</v>
      </c>
      <c r="I22" s="15"/>
      <c r="J22" s="15">
        <v>1</v>
      </c>
      <c r="K22" s="15" t="s">
        <v>39</v>
      </c>
      <c r="L22" s="79" t="s">
        <v>74</v>
      </c>
    </row>
    <row r="23" spans="2:12" x14ac:dyDescent="0.3">
      <c r="B23" s="14" t="s">
        <v>75</v>
      </c>
      <c r="C23" s="15">
        <v>92623</v>
      </c>
      <c r="D23" s="21">
        <v>594.99</v>
      </c>
      <c r="E23" s="15" t="s">
        <v>23</v>
      </c>
      <c r="F23" s="15" t="s">
        <v>36</v>
      </c>
      <c r="G23" s="15" t="s">
        <v>41</v>
      </c>
      <c r="H23" s="15">
        <v>5.3</v>
      </c>
      <c r="I23" s="15" t="s">
        <v>38</v>
      </c>
      <c r="J23" s="15">
        <v>1</v>
      </c>
      <c r="K23" s="15" t="s">
        <v>39</v>
      </c>
      <c r="L23" s="79" t="s">
        <v>76</v>
      </c>
    </row>
    <row r="24" spans="2:12" x14ac:dyDescent="0.3">
      <c r="B24" s="14" t="s">
        <v>25</v>
      </c>
      <c r="C24" s="15" t="s">
        <v>77</v>
      </c>
      <c r="D24" s="21">
        <v>425.99</v>
      </c>
      <c r="E24" s="15" t="s">
        <v>23</v>
      </c>
      <c r="F24" s="15" t="s">
        <v>36</v>
      </c>
      <c r="G24" s="15" t="s">
        <v>32</v>
      </c>
      <c r="H24" s="15">
        <v>5</v>
      </c>
      <c r="I24" s="15" t="s">
        <v>38</v>
      </c>
      <c r="J24" s="15">
        <v>1</v>
      </c>
      <c r="K24" s="15" t="s">
        <v>47</v>
      </c>
      <c r="L24" s="79" t="s">
        <v>78</v>
      </c>
    </row>
    <row r="25" spans="2:12" x14ac:dyDescent="0.3">
      <c r="B25" s="14" t="s">
        <v>75</v>
      </c>
      <c r="C25" s="15">
        <v>96197</v>
      </c>
      <c r="D25" s="21">
        <v>939.67</v>
      </c>
      <c r="E25" s="15" t="s">
        <v>23</v>
      </c>
      <c r="F25" s="15" t="s">
        <v>36</v>
      </c>
      <c r="G25" s="15" t="s">
        <v>32</v>
      </c>
      <c r="H25" s="15">
        <v>5.4</v>
      </c>
      <c r="I25" s="15" t="s">
        <v>42</v>
      </c>
      <c r="J25" s="15">
        <v>1</v>
      </c>
      <c r="K25" s="15" t="s">
        <v>48</v>
      </c>
      <c r="L25" s="79" t="s">
        <v>79</v>
      </c>
    </row>
    <row r="26" spans="2:12" x14ac:dyDescent="0.3">
      <c r="B26" s="14" t="s">
        <v>75</v>
      </c>
      <c r="C26" s="15">
        <v>94193</v>
      </c>
      <c r="D26" s="21">
        <v>786.99</v>
      </c>
      <c r="E26" s="15" t="s">
        <v>23</v>
      </c>
      <c r="F26" s="15" t="s">
        <v>36</v>
      </c>
      <c r="G26" s="15" t="s">
        <v>32</v>
      </c>
      <c r="H26" s="15">
        <v>5.4</v>
      </c>
      <c r="I26" s="15" t="s">
        <v>42</v>
      </c>
      <c r="J26" s="15">
        <v>1</v>
      </c>
      <c r="K26" s="15" t="s">
        <v>39</v>
      </c>
      <c r="L26" s="79" t="s">
        <v>80</v>
      </c>
    </row>
    <row r="27" spans="2:12" x14ac:dyDescent="0.3">
      <c r="B27" s="14" t="s">
        <v>75</v>
      </c>
      <c r="C27" s="15">
        <v>92573</v>
      </c>
      <c r="D27" s="21">
        <v>584.99</v>
      </c>
      <c r="E27" s="15" t="s">
        <v>23</v>
      </c>
      <c r="F27" s="15" t="s">
        <v>36</v>
      </c>
      <c r="G27" s="15" t="s">
        <v>41</v>
      </c>
      <c r="H27" s="15">
        <v>5.4</v>
      </c>
      <c r="I27" s="15" t="s">
        <v>42</v>
      </c>
      <c r="J27" s="15">
        <v>1</v>
      </c>
      <c r="K27" s="15" t="s">
        <v>39</v>
      </c>
      <c r="L27" s="79" t="s">
        <v>82</v>
      </c>
    </row>
    <row r="28" spans="2:12" x14ac:dyDescent="0.3">
      <c r="B28" s="14" t="s">
        <v>25</v>
      </c>
      <c r="C28" s="15" t="s">
        <v>81</v>
      </c>
      <c r="D28" s="21">
        <v>269.93</v>
      </c>
      <c r="E28" s="15" t="s">
        <v>23</v>
      </c>
      <c r="F28" s="15" t="s">
        <v>36</v>
      </c>
      <c r="G28" s="15" t="s">
        <v>32</v>
      </c>
      <c r="H28" s="15">
        <v>5</v>
      </c>
      <c r="I28" s="15" t="s">
        <v>38</v>
      </c>
      <c r="J28" s="15">
        <v>1</v>
      </c>
      <c r="K28" s="15" t="s">
        <v>47</v>
      </c>
      <c r="L28" s="79" t="s">
        <v>83</v>
      </c>
    </row>
    <row r="29" spans="2:12" x14ac:dyDescent="0.3">
      <c r="B29" s="14" t="s">
        <v>24</v>
      </c>
      <c r="C29" s="15" t="s">
        <v>84</v>
      </c>
      <c r="D29" s="21">
        <v>494</v>
      </c>
      <c r="E29" s="15" t="s">
        <v>23</v>
      </c>
      <c r="F29" s="15" t="s">
        <v>36</v>
      </c>
      <c r="G29" s="15" t="s">
        <v>32</v>
      </c>
      <c r="H29" s="15">
        <v>5.3</v>
      </c>
      <c r="I29" s="15" t="s">
        <v>38</v>
      </c>
      <c r="J29" s="15">
        <v>1</v>
      </c>
      <c r="K29" s="15" t="s">
        <v>39</v>
      </c>
      <c r="L29" s="79" t="s">
        <v>85</v>
      </c>
    </row>
    <row r="30" spans="2:12" x14ac:dyDescent="0.3">
      <c r="B30" s="14" t="s">
        <v>24</v>
      </c>
      <c r="C30" s="15" t="s">
        <v>86</v>
      </c>
      <c r="D30" s="21">
        <v>799</v>
      </c>
      <c r="E30" s="15" t="s">
        <v>23</v>
      </c>
      <c r="F30" s="15" t="s">
        <v>43</v>
      </c>
      <c r="G30" s="15" t="s">
        <v>41</v>
      </c>
      <c r="H30" s="15">
        <v>5</v>
      </c>
      <c r="I30" s="15" t="s">
        <v>38</v>
      </c>
      <c r="J30" s="15">
        <v>1</v>
      </c>
      <c r="K30" s="15" t="s">
        <v>39</v>
      </c>
      <c r="L30" s="79" t="s">
        <v>89</v>
      </c>
    </row>
    <row r="31" spans="2:12" x14ac:dyDescent="0.3">
      <c r="B31" s="14" t="s">
        <v>25</v>
      </c>
      <c r="C31" s="15" t="s">
        <v>87</v>
      </c>
      <c r="D31" s="21">
        <v>859</v>
      </c>
      <c r="E31" s="15" t="s">
        <v>23</v>
      </c>
      <c r="F31" s="15" t="s">
        <v>43</v>
      </c>
      <c r="G31" s="15" t="s">
        <v>41</v>
      </c>
      <c r="H31" s="15">
        <v>5.3</v>
      </c>
      <c r="I31" s="15" t="s">
        <v>38</v>
      </c>
      <c r="J31" s="15">
        <v>1</v>
      </c>
      <c r="K31" s="15" t="s">
        <v>39</v>
      </c>
      <c r="L31" s="79" t="s">
        <v>90</v>
      </c>
    </row>
    <row r="32" spans="2:12" ht="15" thickBot="1" x14ac:dyDescent="0.35">
      <c r="B32" s="17" t="s">
        <v>25</v>
      </c>
      <c r="C32" s="18" t="s">
        <v>88</v>
      </c>
      <c r="D32" s="22">
        <v>485</v>
      </c>
      <c r="E32" s="18" t="s">
        <v>23</v>
      </c>
      <c r="F32" s="18" t="s">
        <v>36</v>
      </c>
      <c r="G32" s="18" t="s">
        <v>41</v>
      </c>
      <c r="H32" s="18">
        <v>5.3</v>
      </c>
      <c r="I32" s="18" t="s">
        <v>38</v>
      </c>
      <c r="J32" s="18">
        <v>1</v>
      </c>
      <c r="K32" s="18" t="s">
        <v>47</v>
      </c>
      <c r="L32" s="80" t="s">
        <v>91</v>
      </c>
    </row>
    <row r="33" spans="2:23" ht="15" thickBot="1" x14ac:dyDescent="0.35"/>
    <row r="34" spans="2:23" ht="15" thickBot="1" x14ac:dyDescent="0.35">
      <c r="B34" s="92" t="s">
        <v>138</v>
      </c>
      <c r="C34" s="93"/>
    </row>
    <row r="35" spans="2:23" x14ac:dyDescent="0.3">
      <c r="B35" s="10" t="s">
        <v>14</v>
      </c>
      <c r="C35" s="11" t="s">
        <v>15</v>
      </c>
      <c r="D35" s="11" t="s">
        <v>6</v>
      </c>
      <c r="E35" s="12" t="s">
        <v>1</v>
      </c>
      <c r="F35" s="11" t="s">
        <v>16</v>
      </c>
      <c r="G35" s="11" t="s">
        <v>17</v>
      </c>
      <c r="H35" s="11" t="s">
        <v>93</v>
      </c>
      <c r="I35" s="11" t="s">
        <v>94</v>
      </c>
      <c r="J35" s="11" t="s">
        <v>95</v>
      </c>
      <c r="K35" s="11" t="s">
        <v>96</v>
      </c>
      <c r="L35" s="11" t="s">
        <v>97</v>
      </c>
      <c r="M35" s="11" t="s">
        <v>98</v>
      </c>
      <c r="N35" s="11" t="s">
        <v>99</v>
      </c>
      <c r="O35" s="11" t="s">
        <v>18</v>
      </c>
      <c r="P35" s="11" t="s">
        <v>19</v>
      </c>
      <c r="Q35" s="11" t="s">
        <v>33</v>
      </c>
      <c r="R35" s="11" t="s">
        <v>100</v>
      </c>
      <c r="S35" s="11" t="s">
        <v>101</v>
      </c>
      <c r="T35" s="11" t="s">
        <v>34</v>
      </c>
      <c r="U35" s="11" t="s">
        <v>35</v>
      </c>
      <c r="V35" s="11" t="s">
        <v>20</v>
      </c>
      <c r="W35" s="13" t="s">
        <v>21</v>
      </c>
    </row>
    <row r="36" spans="2:23" x14ac:dyDescent="0.3">
      <c r="B36" s="23" t="s">
        <v>24</v>
      </c>
      <c r="C36" s="24" t="s">
        <v>102</v>
      </c>
      <c r="D36" s="24"/>
      <c r="E36" s="25">
        <v>1079.0999999999999</v>
      </c>
      <c r="F36" s="24" t="s">
        <v>23</v>
      </c>
      <c r="G36" s="24" t="s">
        <v>36</v>
      </c>
      <c r="H36" s="24">
        <v>40</v>
      </c>
      <c r="I36" s="24">
        <v>13.5</v>
      </c>
      <c r="J36" s="24" t="s">
        <v>28</v>
      </c>
      <c r="K36" s="24" t="s">
        <v>28</v>
      </c>
      <c r="L36" s="24" t="s">
        <v>23</v>
      </c>
      <c r="M36" s="24" t="s">
        <v>28</v>
      </c>
      <c r="N36" s="24" t="s">
        <v>23</v>
      </c>
      <c r="O36" s="24" t="s">
        <v>41</v>
      </c>
      <c r="P36" s="24">
        <v>5.4</v>
      </c>
      <c r="Q36" s="24" t="s">
        <v>42</v>
      </c>
      <c r="R36" s="24" t="s">
        <v>23</v>
      </c>
      <c r="S36" s="24" t="s">
        <v>23</v>
      </c>
      <c r="T36" s="24">
        <v>1</v>
      </c>
      <c r="U36" s="24" t="s">
        <v>39</v>
      </c>
      <c r="V36" s="15"/>
      <c r="W36" s="79" t="s">
        <v>103</v>
      </c>
    </row>
    <row r="37" spans="2:23" x14ac:dyDescent="0.3">
      <c r="B37" s="23" t="s">
        <v>25</v>
      </c>
      <c r="C37" s="24" t="s">
        <v>104</v>
      </c>
      <c r="D37" s="24"/>
      <c r="E37" s="25">
        <v>2089</v>
      </c>
      <c r="F37" s="24" t="s">
        <v>23</v>
      </c>
      <c r="G37" s="24" t="s">
        <v>36</v>
      </c>
      <c r="H37" s="24">
        <v>40</v>
      </c>
      <c r="I37" s="24">
        <v>12.4</v>
      </c>
      <c r="J37" s="24" t="s">
        <v>28</v>
      </c>
      <c r="K37" s="24" t="s">
        <v>28</v>
      </c>
      <c r="L37" s="24" t="s">
        <v>28</v>
      </c>
      <c r="M37" s="24" t="s">
        <v>28</v>
      </c>
      <c r="N37" s="24" t="s">
        <v>23</v>
      </c>
      <c r="O37" s="24" t="s">
        <v>37</v>
      </c>
      <c r="P37" s="24">
        <v>5.3</v>
      </c>
      <c r="Q37" s="24" t="s">
        <v>44</v>
      </c>
      <c r="R37" s="24" t="s">
        <v>23</v>
      </c>
      <c r="S37" s="24" t="s">
        <v>23</v>
      </c>
      <c r="T37" s="24">
        <v>1</v>
      </c>
      <c r="U37" s="24" t="s">
        <v>39</v>
      </c>
      <c r="V37" s="15"/>
      <c r="W37" s="79" t="s">
        <v>105</v>
      </c>
    </row>
    <row r="38" spans="2:23" x14ac:dyDescent="0.3">
      <c r="B38" s="23" t="s">
        <v>24</v>
      </c>
      <c r="C38" s="24" t="s">
        <v>106</v>
      </c>
      <c r="D38" s="24"/>
      <c r="E38" s="25">
        <v>1179</v>
      </c>
      <c r="F38" s="24" t="s">
        <v>23</v>
      </c>
      <c r="G38" s="24" t="s">
        <v>36</v>
      </c>
      <c r="H38" s="30">
        <v>40</v>
      </c>
      <c r="I38" s="30">
        <v>12.4</v>
      </c>
      <c r="J38" s="30" t="s">
        <v>28</v>
      </c>
      <c r="K38" s="30" t="s">
        <v>28</v>
      </c>
      <c r="L38" s="30" t="s">
        <v>28</v>
      </c>
      <c r="M38" s="30" t="s">
        <v>28</v>
      </c>
      <c r="N38" s="24" t="s">
        <v>23</v>
      </c>
      <c r="O38" s="24" t="s">
        <v>41</v>
      </c>
      <c r="P38" s="24">
        <v>5.3</v>
      </c>
      <c r="Q38" s="24" t="s">
        <v>42</v>
      </c>
      <c r="R38" s="24" t="s">
        <v>23</v>
      </c>
      <c r="S38" s="24" t="s">
        <v>23</v>
      </c>
      <c r="T38" s="24">
        <v>1</v>
      </c>
      <c r="U38" s="24" t="s">
        <v>48</v>
      </c>
      <c r="V38" s="15"/>
      <c r="W38" s="79" t="s">
        <v>107</v>
      </c>
    </row>
    <row r="39" spans="2:23" x14ac:dyDescent="0.3">
      <c r="B39" s="23" t="s">
        <v>24</v>
      </c>
      <c r="C39" s="24" t="s">
        <v>108</v>
      </c>
      <c r="D39" s="24"/>
      <c r="E39" s="25">
        <v>1029</v>
      </c>
      <c r="F39" s="24" t="s">
        <v>23</v>
      </c>
      <c r="G39" s="24" t="s">
        <v>36</v>
      </c>
      <c r="H39" s="30">
        <v>40</v>
      </c>
      <c r="I39" s="30">
        <v>12.5</v>
      </c>
      <c r="J39" s="30" t="s">
        <v>23</v>
      </c>
      <c r="K39" s="30" t="s">
        <v>28</v>
      </c>
      <c r="L39" s="30" t="s">
        <v>28</v>
      </c>
      <c r="M39" s="30" t="s">
        <v>28</v>
      </c>
      <c r="N39" s="24" t="s">
        <v>23</v>
      </c>
      <c r="O39" s="24" t="s">
        <v>41</v>
      </c>
      <c r="P39" s="24">
        <v>5.3</v>
      </c>
      <c r="Q39" s="24" t="s">
        <v>42</v>
      </c>
      <c r="R39" s="24" t="s">
        <v>23</v>
      </c>
      <c r="S39" s="24" t="s">
        <v>23</v>
      </c>
      <c r="T39" s="24">
        <v>1</v>
      </c>
      <c r="U39" s="24" t="s">
        <v>39</v>
      </c>
      <c r="V39" s="15"/>
      <c r="W39" s="79" t="s">
        <v>109</v>
      </c>
    </row>
    <row r="40" spans="2:23" x14ac:dyDescent="0.3">
      <c r="B40" s="23" t="s">
        <v>24</v>
      </c>
      <c r="C40" s="24" t="s">
        <v>110</v>
      </c>
      <c r="D40" s="24"/>
      <c r="E40" s="25">
        <v>989.1</v>
      </c>
      <c r="F40" s="24" t="s">
        <v>23</v>
      </c>
      <c r="G40" s="24" t="s">
        <v>36</v>
      </c>
      <c r="H40" s="30">
        <v>40</v>
      </c>
      <c r="I40" s="30">
        <v>12.5</v>
      </c>
      <c r="J40" s="30" t="s">
        <v>23</v>
      </c>
      <c r="K40" s="30" t="s">
        <v>28</v>
      </c>
      <c r="L40" s="30" t="s">
        <v>28</v>
      </c>
      <c r="M40" s="30" t="s">
        <v>28</v>
      </c>
      <c r="N40" s="24" t="s">
        <v>23</v>
      </c>
      <c r="O40" s="24" t="s">
        <v>41</v>
      </c>
      <c r="P40" s="24">
        <v>5.3</v>
      </c>
      <c r="Q40" s="24" t="s">
        <v>42</v>
      </c>
      <c r="R40" s="24" t="s">
        <v>23</v>
      </c>
      <c r="S40" s="24" t="s">
        <v>23</v>
      </c>
      <c r="T40" s="24">
        <v>1</v>
      </c>
      <c r="U40" s="24" t="s">
        <v>48</v>
      </c>
      <c r="V40" s="15"/>
      <c r="W40" s="79" t="s">
        <v>111</v>
      </c>
    </row>
    <row r="41" spans="2:23" x14ac:dyDescent="0.3">
      <c r="B41" s="23" t="s">
        <v>24</v>
      </c>
      <c r="C41" s="24" t="s">
        <v>112</v>
      </c>
      <c r="D41" s="24"/>
      <c r="E41" s="25">
        <v>1793.1</v>
      </c>
      <c r="F41" s="24" t="s">
        <v>23</v>
      </c>
      <c r="G41" s="24" t="s">
        <v>36</v>
      </c>
      <c r="H41" s="30">
        <v>40</v>
      </c>
      <c r="I41" s="30"/>
      <c r="J41" s="30" t="s">
        <v>28</v>
      </c>
      <c r="K41" s="30" t="s">
        <v>28</v>
      </c>
      <c r="L41" s="30" t="s">
        <v>28</v>
      </c>
      <c r="M41" s="30" t="s">
        <v>28</v>
      </c>
      <c r="N41" s="24" t="s">
        <v>23</v>
      </c>
      <c r="O41" s="24" t="s">
        <v>41</v>
      </c>
      <c r="P41" s="24">
        <v>5.4</v>
      </c>
      <c r="Q41" s="24" t="s">
        <v>42</v>
      </c>
      <c r="R41" s="24" t="s">
        <v>23</v>
      </c>
      <c r="S41" s="24" t="s">
        <v>28</v>
      </c>
      <c r="T41" s="24">
        <v>1</v>
      </c>
      <c r="U41" s="24" t="s">
        <v>39</v>
      </c>
      <c r="V41" s="15"/>
      <c r="W41" s="79" t="s">
        <v>113</v>
      </c>
    </row>
    <row r="42" spans="2:23" x14ac:dyDescent="0.3">
      <c r="B42" s="23" t="s">
        <v>25</v>
      </c>
      <c r="C42" s="24" t="s">
        <v>114</v>
      </c>
      <c r="D42" s="24"/>
      <c r="E42" s="25">
        <v>2309</v>
      </c>
      <c r="F42" s="24" t="s">
        <v>23</v>
      </c>
      <c r="G42" s="24" t="s">
        <v>36</v>
      </c>
      <c r="H42" s="30">
        <v>40</v>
      </c>
      <c r="I42" s="30">
        <v>12.4</v>
      </c>
      <c r="J42" s="30" t="s">
        <v>28</v>
      </c>
      <c r="K42" s="30" t="s">
        <v>28</v>
      </c>
      <c r="L42" s="30" t="s">
        <v>28</v>
      </c>
      <c r="M42" s="30" t="s">
        <v>28</v>
      </c>
      <c r="N42" s="24" t="s">
        <v>23</v>
      </c>
      <c r="O42" s="24" t="s">
        <v>37</v>
      </c>
      <c r="P42" s="24">
        <v>5.3</v>
      </c>
      <c r="Q42" s="24" t="s">
        <v>42</v>
      </c>
      <c r="R42" s="24" t="s">
        <v>23</v>
      </c>
      <c r="S42" s="24" t="s">
        <v>23</v>
      </c>
      <c r="T42" s="24">
        <v>1</v>
      </c>
      <c r="U42" s="24" t="s">
        <v>115</v>
      </c>
      <c r="V42" s="15"/>
      <c r="W42" s="79" t="s">
        <v>116</v>
      </c>
    </row>
    <row r="43" spans="2:23" x14ac:dyDescent="0.3">
      <c r="B43" s="23" t="s">
        <v>25</v>
      </c>
      <c r="C43" s="24" t="s">
        <v>117</v>
      </c>
      <c r="D43" s="24"/>
      <c r="E43" s="25">
        <v>2299</v>
      </c>
      <c r="F43" s="24" t="s">
        <v>23</v>
      </c>
      <c r="G43" s="24" t="s">
        <v>36</v>
      </c>
      <c r="H43" s="30">
        <v>40</v>
      </c>
      <c r="I43" s="30">
        <v>12.4</v>
      </c>
      <c r="J43" s="30" t="s">
        <v>28</v>
      </c>
      <c r="K43" s="30" t="s">
        <v>28</v>
      </c>
      <c r="L43" s="30" t="s">
        <v>28</v>
      </c>
      <c r="M43" s="30" t="s">
        <v>28</v>
      </c>
      <c r="N43" s="24" t="s">
        <v>23</v>
      </c>
      <c r="O43" s="24" t="s">
        <v>37</v>
      </c>
      <c r="P43" s="24">
        <v>5.3</v>
      </c>
      <c r="Q43" s="24" t="s">
        <v>42</v>
      </c>
      <c r="R43" s="24" t="s">
        <v>23</v>
      </c>
      <c r="S43" s="24" t="s">
        <v>23</v>
      </c>
      <c r="T43" s="24">
        <v>1</v>
      </c>
      <c r="U43" s="24" t="s">
        <v>48</v>
      </c>
      <c r="V43" s="15"/>
      <c r="W43" s="79" t="s">
        <v>118</v>
      </c>
    </row>
    <row r="44" spans="2:23" x14ac:dyDescent="0.3">
      <c r="B44" s="23" t="s">
        <v>24</v>
      </c>
      <c r="C44" s="24" t="s">
        <v>102</v>
      </c>
      <c r="D44" s="24"/>
      <c r="E44" s="25">
        <v>1073.7</v>
      </c>
      <c r="F44" s="24" t="s">
        <v>23</v>
      </c>
      <c r="G44" s="24" t="s">
        <v>36</v>
      </c>
      <c r="H44" s="30">
        <v>40</v>
      </c>
      <c r="I44" s="30">
        <v>13.5</v>
      </c>
      <c r="J44" s="30" t="s">
        <v>28</v>
      </c>
      <c r="K44" s="30" t="s">
        <v>28</v>
      </c>
      <c r="L44" s="30" t="s">
        <v>23</v>
      </c>
      <c r="M44" s="30" t="s">
        <v>28</v>
      </c>
      <c r="N44" s="24" t="s">
        <v>23</v>
      </c>
      <c r="O44" s="24" t="s">
        <v>41</v>
      </c>
      <c r="P44" s="24">
        <v>5.4</v>
      </c>
      <c r="Q44" s="24" t="s">
        <v>42</v>
      </c>
      <c r="R44" s="24" t="s">
        <v>23</v>
      </c>
      <c r="S44" s="24" t="s">
        <v>23</v>
      </c>
      <c r="T44" s="24">
        <v>1</v>
      </c>
      <c r="U44" s="24" t="s">
        <v>39</v>
      </c>
      <c r="V44" s="15"/>
      <c r="W44" s="79" t="s">
        <v>119</v>
      </c>
    </row>
    <row r="45" spans="2:23" x14ac:dyDescent="0.3">
      <c r="B45" s="23" t="s">
        <v>24</v>
      </c>
      <c r="C45" s="24" t="s">
        <v>106</v>
      </c>
      <c r="D45" s="24"/>
      <c r="E45" s="25">
        <v>1163.7</v>
      </c>
      <c r="F45" s="24" t="s">
        <v>23</v>
      </c>
      <c r="G45" s="24" t="s">
        <v>36</v>
      </c>
      <c r="H45" s="30">
        <v>40</v>
      </c>
      <c r="I45" s="30">
        <v>12.4</v>
      </c>
      <c r="J45" s="30" t="s">
        <v>28</v>
      </c>
      <c r="K45" s="30" t="s">
        <v>28</v>
      </c>
      <c r="L45" s="30" t="s">
        <v>28</v>
      </c>
      <c r="M45" s="30" t="s">
        <v>28</v>
      </c>
      <c r="N45" s="24" t="s">
        <v>23</v>
      </c>
      <c r="O45" s="24" t="s">
        <v>41</v>
      </c>
      <c r="P45" s="24">
        <v>5.3</v>
      </c>
      <c r="Q45" s="24" t="s">
        <v>42</v>
      </c>
      <c r="R45" s="24" t="s">
        <v>23</v>
      </c>
      <c r="S45" s="24" t="s">
        <v>23</v>
      </c>
      <c r="T45" s="24">
        <v>1</v>
      </c>
      <c r="U45" s="24" t="s">
        <v>48</v>
      </c>
      <c r="V45" s="15"/>
      <c r="W45" s="79" t="s">
        <v>120</v>
      </c>
    </row>
    <row r="46" spans="2:23" x14ac:dyDescent="0.3">
      <c r="B46" s="23" t="s">
        <v>25</v>
      </c>
      <c r="C46" s="24" t="s">
        <v>104</v>
      </c>
      <c r="D46" s="24"/>
      <c r="E46" s="25">
        <v>2203</v>
      </c>
      <c r="F46" s="24" t="s">
        <v>23</v>
      </c>
      <c r="G46" s="24" t="s">
        <v>36</v>
      </c>
      <c r="H46" s="30">
        <v>40</v>
      </c>
      <c r="I46" s="30">
        <v>12.4</v>
      </c>
      <c r="J46" s="30" t="s">
        <v>28</v>
      </c>
      <c r="K46" s="30" t="s">
        <v>28</v>
      </c>
      <c r="L46" s="30" t="s">
        <v>28</v>
      </c>
      <c r="M46" s="30" t="s">
        <v>28</v>
      </c>
      <c r="N46" s="24" t="s">
        <v>23</v>
      </c>
      <c r="O46" s="24" t="s">
        <v>37</v>
      </c>
      <c r="P46" s="24">
        <v>5.3</v>
      </c>
      <c r="Q46" s="24" t="s">
        <v>44</v>
      </c>
      <c r="R46" s="24" t="s">
        <v>23</v>
      </c>
      <c r="S46" s="24" t="s">
        <v>23</v>
      </c>
      <c r="T46" s="24">
        <v>1</v>
      </c>
      <c r="U46" s="24" t="s">
        <v>39</v>
      </c>
      <c r="V46" s="15"/>
      <c r="W46" s="79" t="s">
        <v>121</v>
      </c>
    </row>
    <row r="47" spans="2:23" x14ac:dyDescent="0.3">
      <c r="B47" s="23" t="s">
        <v>25</v>
      </c>
      <c r="C47" s="24" t="s">
        <v>117</v>
      </c>
      <c r="D47" s="24"/>
      <c r="E47" s="25">
        <v>2293</v>
      </c>
      <c r="F47" s="24" t="s">
        <v>23</v>
      </c>
      <c r="G47" s="24" t="s">
        <v>36</v>
      </c>
      <c r="H47" s="30">
        <v>40</v>
      </c>
      <c r="I47" s="30">
        <v>12.4</v>
      </c>
      <c r="J47" s="30" t="s">
        <v>28</v>
      </c>
      <c r="K47" s="30" t="s">
        <v>28</v>
      </c>
      <c r="L47" s="30" t="s">
        <v>28</v>
      </c>
      <c r="M47" s="30" t="s">
        <v>28</v>
      </c>
      <c r="N47" s="24" t="s">
        <v>23</v>
      </c>
      <c r="O47" s="24" t="s">
        <v>37</v>
      </c>
      <c r="P47" s="24">
        <v>5.3</v>
      </c>
      <c r="Q47" s="24" t="s">
        <v>42</v>
      </c>
      <c r="R47" s="24" t="s">
        <v>23</v>
      </c>
      <c r="S47" s="24" t="s">
        <v>23</v>
      </c>
      <c r="T47" s="24">
        <v>1</v>
      </c>
      <c r="U47" s="24" t="s">
        <v>48</v>
      </c>
      <c r="V47" s="15"/>
      <c r="W47" s="79" t="s">
        <v>122</v>
      </c>
    </row>
    <row r="48" spans="2:23" x14ac:dyDescent="0.3">
      <c r="B48" s="23" t="s">
        <v>25</v>
      </c>
      <c r="C48" s="24" t="s">
        <v>114</v>
      </c>
      <c r="D48" s="24"/>
      <c r="E48" s="25">
        <v>2303</v>
      </c>
      <c r="F48" s="24" t="s">
        <v>23</v>
      </c>
      <c r="G48" s="24" t="s">
        <v>36</v>
      </c>
      <c r="H48" s="30">
        <v>40</v>
      </c>
      <c r="I48" s="30">
        <v>12.4</v>
      </c>
      <c r="J48" s="30" t="s">
        <v>28</v>
      </c>
      <c r="K48" s="30" t="s">
        <v>28</v>
      </c>
      <c r="L48" s="30" t="s">
        <v>28</v>
      </c>
      <c r="M48" s="30" t="s">
        <v>28</v>
      </c>
      <c r="N48" s="24" t="s">
        <v>23</v>
      </c>
      <c r="O48" s="24" t="s">
        <v>37</v>
      </c>
      <c r="P48" s="24">
        <v>5.3</v>
      </c>
      <c r="Q48" s="24" t="s">
        <v>42</v>
      </c>
      <c r="R48" s="24" t="s">
        <v>23</v>
      </c>
      <c r="S48" s="24" t="s">
        <v>23</v>
      </c>
      <c r="T48" s="24">
        <v>1</v>
      </c>
      <c r="U48" s="24" t="s">
        <v>115</v>
      </c>
      <c r="V48" s="15"/>
      <c r="W48" s="79" t="s">
        <v>123</v>
      </c>
    </row>
    <row r="49" spans="2:23" x14ac:dyDescent="0.3">
      <c r="B49" s="23" t="s">
        <v>24</v>
      </c>
      <c r="C49" s="24" t="s">
        <v>108</v>
      </c>
      <c r="D49" s="24"/>
      <c r="E49" s="25">
        <v>984.1</v>
      </c>
      <c r="F49" s="24" t="s">
        <v>23</v>
      </c>
      <c r="G49" s="24" t="s">
        <v>36</v>
      </c>
      <c r="H49" s="30">
        <v>40</v>
      </c>
      <c r="I49" s="30">
        <v>12.5</v>
      </c>
      <c r="J49" s="30" t="s">
        <v>23</v>
      </c>
      <c r="K49" s="30" t="s">
        <v>28</v>
      </c>
      <c r="L49" s="30" t="s">
        <v>28</v>
      </c>
      <c r="M49" s="30" t="s">
        <v>28</v>
      </c>
      <c r="N49" s="24" t="s">
        <v>23</v>
      </c>
      <c r="O49" s="24" t="s">
        <v>41</v>
      </c>
      <c r="P49" s="24">
        <v>5.3</v>
      </c>
      <c r="Q49" s="24" t="s">
        <v>42</v>
      </c>
      <c r="R49" s="24" t="s">
        <v>23</v>
      </c>
      <c r="S49" s="24" t="s">
        <v>23</v>
      </c>
      <c r="T49" s="24">
        <v>1</v>
      </c>
      <c r="U49" s="24" t="s">
        <v>39</v>
      </c>
      <c r="V49" s="15"/>
      <c r="W49" s="79" t="s">
        <v>124</v>
      </c>
    </row>
    <row r="50" spans="2:23" x14ac:dyDescent="0.3">
      <c r="B50" s="23" t="s">
        <v>125</v>
      </c>
      <c r="C50" s="24" t="s">
        <v>126</v>
      </c>
      <c r="D50" s="24"/>
      <c r="E50" s="25">
        <v>2199</v>
      </c>
      <c r="F50" s="24" t="s">
        <v>23</v>
      </c>
      <c r="G50" s="24" t="s">
        <v>36</v>
      </c>
      <c r="H50" s="30">
        <v>40</v>
      </c>
      <c r="I50" s="30"/>
      <c r="J50" s="30" t="s">
        <v>23</v>
      </c>
      <c r="K50" s="30" t="s">
        <v>28</v>
      </c>
      <c r="L50" s="30" t="s">
        <v>28</v>
      </c>
      <c r="M50" s="30" t="s">
        <v>28</v>
      </c>
      <c r="N50" s="24" t="s">
        <v>23</v>
      </c>
      <c r="O50" s="24" t="s">
        <v>41</v>
      </c>
      <c r="P50" s="24">
        <v>6</v>
      </c>
      <c r="Q50" s="24" t="s">
        <v>42</v>
      </c>
      <c r="R50" s="24" t="s">
        <v>28</v>
      </c>
      <c r="S50" s="24" t="s">
        <v>23</v>
      </c>
      <c r="T50" s="24">
        <v>1</v>
      </c>
      <c r="U50" s="24" t="s">
        <v>39</v>
      </c>
      <c r="V50" s="15"/>
      <c r="W50" s="79" t="s">
        <v>127</v>
      </c>
    </row>
    <row r="51" spans="2:23" x14ac:dyDescent="0.3">
      <c r="B51" s="23" t="s">
        <v>25</v>
      </c>
      <c r="C51" s="24" t="s">
        <v>117</v>
      </c>
      <c r="D51" s="24"/>
      <c r="E51" s="25">
        <v>2069.9899999999998</v>
      </c>
      <c r="F51" s="24" t="s">
        <v>23</v>
      </c>
      <c r="G51" s="24" t="s">
        <v>36</v>
      </c>
      <c r="H51" s="30">
        <v>40</v>
      </c>
      <c r="I51" s="30">
        <v>12.4</v>
      </c>
      <c r="J51" s="30" t="s">
        <v>28</v>
      </c>
      <c r="K51" s="30" t="s">
        <v>28</v>
      </c>
      <c r="L51" s="30" t="s">
        <v>28</v>
      </c>
      <c r="M51" s="30" t="s">
        <v>28</v>
      </c>
      <c r="N51" s="24" t="s">
        <v>23</v>
      </c>
      <c r="O51" s="24" t="s">
        <v>37</v>
      </c>
      <c r="P51" s="24">
        <v>5.3</v>
      </c>
      <c r="Q51" s="24" t="s">
        <v>42</v>
      </c>
      <c r="R51" s="24" t="s">
        <v>23</v>
      </c>
      <c r="S51" s="24" t="s">
        <v>23</v>
      </c>
      <c r="T51" s="24">
        <v>1</v>
      </c>
      <c r="U51" s="24" t="s">
        <v>48</v>
      </c>
      <c r="V51" s="15"/>
      <c r="W51" s="79" t="s">
        <v>128</v>
      </c>
    </row>
    <row r="52" spans="2:23" x14ac:dyDescent="0.3">
      <c r="B52" s="23" t="s">
        <v>24</v>
      </c>
      <c r="C52" s="24" t="s">
        <v>106</v>
      </c>
      <c r="D52" s="24"/>
      <c r="E52" s="25">
        <v>1169.96</v>
      </c>
      <c r="F52" s="24" t="s">
        <v>23</v>
      </c>
      <c r="G52" s="24" t="s">
        <v>36</v>
      </c>
      <c r="H52" s="30">
        <v>40</v>
      </c>
      <c r="I52" s="30">
        <v>12.4</v>
      </c>
      <c r="J52" s="30" t="s">
        <v>28</v>
      </c>
      <c r="K52" s="30" t="s">
        <v>28</v>
      </c>
      <c r="L52" s="30" t="s">
        <v>28</v>
      </c>
      <c r="M52" s="30" t="s">
        <v>28</v>
      </c>
      <c r="N52" s="24" t="s">
        <v>23</v>
      </c>
      <c r="O52" s="24" t="s">
        <v>41</v>
      </c>
      <c r="P52" s="24">
        <v>5.3</v>
      </c>
      <c r="Q52" s="24" t="s">
        <v>42</v>
      </c>
      <c r="R52" s="24" t="s">
        <v>23</v>
      </c>
      <c r="S52" s="24" t="s">
        <v>23</v>
      </c>
      <c r="T52" s="24">
        <v>1</v>
      </c>
      <c r="U52" s="24" t="s">
        <v>48</v>
      </c>
      <c r="V52" s="15"/>
      <c r="W52" s="79" t="s">
        <v>129</v>
      </c>
    </row>
    <row r="53" spans="2:23" x14ac:dyDescent="0.3">
      <c r="B53" s="23" t="s">
        <v>25</v>
      </c>
      <c r="C53" s="24" t="s">
        <v>114</v>
      </c>
      <c r="D53" s="24"/>
      <c r="E53" s="25">
        <v>2078.9899999999998</v>
      </c>
      <c r="F53" s="24" t="s">
        <v>23</v>
      </c>
      <c r="G53" s="24" t="s">
        <v>36</v>
      </c>
      <c r="H53" s="30">
        <v>40</v>
      </c>
      <c r="I53" s="30">
        <v>12.4</v>
      </c>
      <c r="J53" s="30" t="s">
        <v>28</v>
      </c>
      <c r="K53" s="30" t="s">
        <v>28</v>
      </c>
      <c r="L53" s="30" t="s">
        <v>28</v>
      </c>
      <c r="M53" s="30" t="s">
        <v>28</v>
      </c>
      <c r="N53" s="24" t="s">
        <v>23</v>
      </c>
      <c r="O53" s="24" t="s">
        <v>37</v>
      </c>
      <c r="P53" s="24">
        <v>5.3</v>
      </c>
      <c r="Q53" s="24" t="s">
        <v>42</v>
      </c>
      <c r="R53" s="24" t="s">
        <v>23</v>
      </c>
      <c r="S53" s="24" t="s">
        <v>23</v>
      </c>
      <c r="T53" s="24">
        <v>1</v>
      </c>
      <c r="U53" s="24" t="s">
        <v>115</v>
      </c>
      <c r="V53" s="15"/>
      <c r="W53" s="79" t="s">
        <v>130</v>
      </c>
    </row>
    <row r="54" spans="2:23" x14ac:dyDescent="0.3">
      <c r="B54" s="23" t="s">
        <v>25</v>
      </c>
      <c r="C54" s="24" t="s">
        <v>104</v>
      </c>
      <c r="D54" s="24"/>
      <c r="E54" s="25">
        <v>1988.99</v>
      </c>
      <c r="F54" s="24" t="s">
        <v>23</v>
      </c>
      <c r="G54" s="24" t="s">
        <v>36</v>
      </c>
      <c r="H54" s="30">
        <v>40</v>
      </c>
      <c r="I54" s="30">
        <v>12.4</v>
      </c>
      <c r="J54" s="30" t="s">
        <v>28</v>
      </c>
      <c r="K54" s="30" t="s">
        <v>28</v>
      </c>
      <c r="L54" s="30" t="s">
        <v>28</v>
      </c>
      <c r="M54" s="30" t="s">
        <v>28</v>
      </c>
      <c r="N54" s="24" t="s">
        <v>23</v>
      </c>
      <c r="O54" s="24" t="s">
        <v>37</v>
      </c>
      <c r="P54" s="24">
        <v>5.3</v>
      </c>
      <c r="Q54" s="24" t="s">
        <v>44</v>
      </c>
      <c r="R54" s="24" t="s">
        <v>23</v>
      </c>
      <c r="S54" s="24" t="s">
        <v>23</v>
      </c>
      <c r="T54" s="24">
        <v>1</v>
      </c>
      <c r="U54" s="24" t="s">
        <v>39</v>
      </c>
      <c r="V54" s="15"/>
      <c r="W54" s="79" t="s">
        <v>131</v>
      </c>
    </row>
    <row r="55" spans="2:23" x14ac:dyDescent="0.3">
      <c r="B55" s="23" t="s">
        <v>24</v>
      </c>
      <c r="C55" s="24" t="s">
        <v>108</v>
      </c>
      <c r="D55" s="24"/>
      <c r="E55" s="25">
        <v>989.96</v>
      </c>
      <c r="F55" s="24" t="s">
        <v>23</v>
      </c>
      <c r="G55" s="24" t="s">
        <v>36</v>
      </c>
      <c r="H55" s="30">
        <v>40</v>
      </c>
      <c r="I55" s="30">
        <v>12.5</v>
      </c>
      <c r="J55" s="30" t="s">
        <v>23</v>
      </c>
      <c r="K55" s="30" t="s">
        <v>28</v>
      </c>
      <c r="L55" s="30" t="s">
        <v>28</v>
      </c>
      <c r="M55" s="30" t="s">
        <v>28</v>
      </c>
      <c r="N55" s="24" t="s">
        <v>23</v>
      </c>
      <c r="O55" s="24" t="s">
        <v>41</v>
      </c>
      <c r="P55" s="24">
        <v>5.3</v>
      </c>
      <c r="Q55" s="24" t="s">
        <v>42</v>
      </c>
      <c r="R55" s="24" t="s">
        <v>23</v>
      </c>
      <c r="S55" s="24" t="s">
        <v>23</v>
      </c>
      <c r="T55" s="24">
        <v>1</v>
      </c>
      <c r="U55" s="24" t="s">
        <v>39</v>
      </c>
      <c r="V55" s="15"/>
      <c r="W55" s="79" t="s">
        <v>132</v>
      </c>
    </row>
    <row r="56" spans="2:23" x14ac:dyDescent="0.3">
      <c r="B56" s="23" t="s">
        <v>24</v>
      </c>
      <c r="C56" s="24" t="s">
        <v>102</v>
      </c>
      <c r="D56" s="24"/>
      <c r="E56" s="25">
        <v>1079.96</v>
      </c>
      <c r="F56" s="24" t="s">
        <v>23</v>
      </c>
      <c r="G56" s="24" t="s">
        <v>36</v>
      </c>
      <c r="H56" s="30">
        <v>40</v>
      </c>
      <c r="I56" s="30">
        <v>13.5</v>
      </c>
      <c r="J56" s="30" t="s">
        <v>28</v>
      </c>
      <c r="K56" s="30" t="s">
        <v>28</v>
      </c>
      <c r="L56" s="30" t="s">
        <v>23</v>
      </c>
      <c r="M56" s="30" t="s">
        <v>28</v>
      </c>
      <c r="N56" s="24" t="s">
        <v>23</v>
      </c>
      <c r="O56" s="24" t="s">
        <v>41</v>
      </c>
      <c r="P56" s="24">
        <v>5.4</v>
      </c>
      <c r="Q56" s="24" t="s">
        <v>42</v>
      </c>
      <c r="R56" s="24" t="s">
        <v>23</v>
      </c>
      <c r="S56" s="24" t="s">
        <v>23</v>
      </c>
      <c r="T56" s="24">
        <v>1</v>
      </c>
      <c r="U56" s="24" t="s">
        <v>39</v>
      </c>
      <c r="V56" s="15"/>
      <c r="W56" s="79" t="s">
        <v>133</v>
      </c>
    </row>
    <row r="57" spans="2:23" x14ac:dyDescent="0.3">
      <c r="B57" s="23" t="s">
        <v>40</v>
      </c>
      <c r="C57" s="24" t="s">
        <v>134</v>
      </c>
      <c r="D57" s="24"/>
      <c r="E57" s="25">
        <v>3329.99</v>
      </c>
      <c r="F57" s="24" t="s">
        <v>23</v>
      </c>
      <c r="G57" s="24" t="s">
        <v>43</v>
      </c>
      <c r="H57" s="30"/>
      <c r="I57" s="30"/>
      <c r="J57" s="30"/>
      <c r="K57" s="30"/>
      <c r="L57" s="30"/>
      <c r="M57" s="30" t="s">
        <v>28</v>
      </c>
      <c r="N57" s="24" t="s">
        <v>23</v>
      </c>
      <c r="O57" s="24" t="s">
        <v>41</v>
      </c>
      <c r="P57" s="24">
        <v>5.8</v>
      </c>
      <c r="Q57" s="24" t="s">
        <v>44</v>
      </c>
      <c r="R57" s="24" t="s">
        <v>28</v>
      </c>
      <c r="S57" s="24" t="s">
        <v>23</v>
      </c>
      <c r="T57" s="24">
        <v>1</v>
      </c>
      <c r="U57" s="24" t="s">
        <v>39</v>
      </c>
      <c r="V57" s="15"/>
      <c r="W57" s="85" t="s">
        <v>135</v>
      </c>
    </row>
    <row r="58" spans="2:23" x14ac:dyDescent="0.3">
      <c r="B58" s="23" t="s">
        <v>24</v>
      </c>
      <c r="C58" s="24" t="s">
        <v>102</v>
      </c>
      <c r="D58" s="24"/>
      <c r="E58" s="25">
        <v>1089.99</v>
      </c>
      <c r="F58" s="24" t="s">
        <v>23</v>
      </c>
      <c r="G58" s="24" t="s">
        <v>36</v>
      </c>
      <c r="H58" s="24">
        <v>40</v>
      </c>
      <c r="I58" s="24">
        <v>13.5</v>
      </c>
      <c r="J58" s="24" t="s">
        <v>28</v>
      </c>
      <c r="K58" s="24" t="s">
        <v>28</v>
      </c>
      <c r="L58" s="24" t="s">
        <v>23</v>
      </c>
      <c r="M58" s="24" t="s">
        <v>28</v>
      </c>
      <c r="N58" s="24" t="s">
        <v>23</v>
      </c>
      <c r="O58" s="24" t="s">
        <v>41</v>
      </c>
      <c r="P58" s="24">
        <v>5.4</v>
      </c>
      <c r="Q58" s="24" t="s">
        <v>42</v>
      </c>
      <c r="R58" s="24" t="s">
        <v>23</v>
      </c>
      <c r="S58" s="24" t="s">
        <v>23</v>
      </c>
      <c r="T58" s="24">
        <v>1</v>
      </c>
      <c r="U58" s="24" t="s">
        <v>39</v>
      </c>
      <c r="V58" s="15"/>
      <c r="W58" s="79" t="s">
        <v>136</v>
      </c>
    </row>
    <row r="59" spans="2:23" ht="15" thickBot="1" x14ac:dyDescent="0.35">
      <c r="B59" s="26" t="s">
        <v>24</v>
      </c>
      <c r="C59" s="27" t="s">
        <v>108</v>
      </c>
      <c r="D59" s="27"/>
      <c r="E59" s="28">
        <v>989.99</v>
      </c>
      <c r="F59" s="27" t="s">
        <v>23</v>
      </c>
      <c r="G59" s="27" t="s">
        <v>36</v>
      </c>
      <c r="H59" s="27">
        <v>40</v>
      </c>
      <c r="I59" s="27">
        <v>12.5</v>
      </c>
      <c r="J59" s="27" t="s">
        <v>23</v>
      </c>
      <c r="K59" s="27" t="s">
        <v>28</v>
      </c>
      <c r="L59" s="27" t="s">
        <v>28</v>
      </c>
      <c r="M59" s="27" t="s">
        <v>28</v>
      </c>
      <c r="N59" s="27" t="s">
        <v>23</v>
      </c>
      <c r="O59" s="27" t="s">
        <v>41</v>
      </c>
      <c r="P59" s="27">
        <v>5.3</v>
      </c>
      <c r="Q59" s="27" t="s">
        <v>42</v>
      </c>
      <c r="R59" s="27" t="s">
        <v>23</v>
      </c>
      <c r="S59" s="27" t="s">
        <v>23</v>
      </c>
      <c r="T59" s="27">
        <v>1</v>
      </c>
      <c r="U59" s="27" t="s">
        <v>39</v>
      </c>
      <c r="V59" s="18"/>
      <c r="W59" s="80" t="s">
        <v>137</v>
      </c>
    </row>
  </sheetData>
  <mergeCells count="2">
    <mergeCell ref="B8:C8"/>
    <mergeCell ref="B34:C34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1A529-5B56-4061-8593-9A28CEBC653A}">
  <sheetPr>
    <tabColor theme="7" tint="0.79998168889431442"/>
  </sheetPr>
  <dimension ref="B2:Q202"/>
  <sheetViews>
    <sheetView zoomScale="69" zoomScaleNormal="55" workbookViewId="0">
      <selection activeCell="E13" sqref="E13"/>
    </sheetView>
  </sheetViews>
  <sheetFormatPr defaultRowHeight="14.4" x14ac:dyDescent="0.3"/>
  <cols>
    <col min="2" max="2" width="36" bestFit="1" customWidth="1"/>
    <col min="3" max="3" width="11.6640625" bestFit="1" customWidth="1"/>
    <col min="4" max="4" width="18.109375" bestFit="1" customWidth="1"/>
    <col min="5" max="5" width="17" bestFit="1" customWidth="1"/>
    <col min="6" max="6" width="22.88671875" bestFit="1" customWidth="1"/>
    <col min="7" max="7" width="23.5546875" bestFit="1" customWidth="1"/>
    <col min="8" max="8" width="29.33203125" bestFit="1" customWidth="1"/>
    <col min="9" max="9" width="172.44140625" bestFit="1" customWidth="1"/>
    <col min="10" max="10" width="12.88671875" bestFit="1" customWidth="1"/>
    <col min="11" max="11" width="164" bestFit="1" customWidth="1"/>
    <col min="17" max="17" width="172.5546875" bestFit="1" customWidth="1"/>
  </cols>
  <sheetData>
    <row r="2" spans="2:11" x14ac:dyDescent="0.3">
      <c r="C2" s="2" t="s">
        <v>1</v>
      </c>
      <c r="D2" s="2" t="s">
        <v>2</v>
      </c>
    </row>
    <row r="3" spans="2:11" x14ac:dyDescent="0.3">
      <c r="B3" s="5" t="s">
        <v>3</v>
      </c>
      <c r="C3" s="3">
        <f>AVERAGE($F$10:$F$85)</f>
        <v>948.50855263157882</v>
      </c>
      <c r="D3" s="8">
        <f>COUNTA($B$10:$B$85)</f>
        <v>76</v>
      </c>
    </row>
    <row r="4" spans="2:11" x14ac:dyDescent="0.3">
      <c r="B4" s="5" t="s">
        <v>4</v>
      </c>
      <c r="C4" s="3">
        <f>AVERAGE($G$89:$G$202)</f>
        <v>1635.5599122807032</v>
      </c>
      <c r="D4" s="4">
        <f>COUNTA($B$89:$B$202)</f>
        <v>114</v>
      </c>
      <c r="E4" s="1"/>
    </row>
    <row r="6" spans="2:11" x14ac:dyDescent="0.3">
      <c r="B6" s="5" t="s">
        <v>519</v>
      </c>
      <c r="C6" s="3">
        <f>$C$4-$C$3</f>
        <v>687.05135964912438</v>
      </c>
    </row>
    <row r="7" spans="2:11" ht="15" thickBot="1" x14ac:dyDescent="0.35"/>
    <row r="8" spans="2:11" ht="15" thickBot="1" x14ac:dyDescent="0.35">
      <c r="B8" s="90" t="s">
        <v>3</v>
      </c>
      <c r="C8" s="91"/>
    </row>
    <row r="9" spans="2:11" x14ac:dyDescent="0.3">
      <c r="B9" s="31" t="s">
        <v>14</v>
      </c>
      <c r="C9" s="32" t="s">
        <v>139</v>
      </c>
      <c r="D9" s="32" t="s">
        <v>140</v>
      </c>
      <c r="E9" s="33" t="s">
        <v>15</v>
      </c>
      <c r="F9" s="34" t="s">
        <v>1</v>
      </c>
      <c r="G9" s="32" t="s">
        <v>93</v>
      </c>
      <c r="H9" s="32" t="s">
        <v>94</v>
      </c>
      <c r="I9" s="32" t="s">
        <v>143</v>
      </c>
      <c r="J9" s="32" t="s">
        <v>144</v>
      </c>
      <c r="K9" s="20" t="s">
        <v>21</v>
      </c>
    </row>
    <row r="10" spans="2:11" x14ac:dyDescent="0.3">
      <c r="B10" s="14" t="s">
        <v>25</v>
      </c>
      <c r="C10" s="15" t="s">
        <v>145</v>
      </c>
      <c r="D10" s="15"/>
      <c r="E10" s="15" t="s">
        <v>152</v>
      </c>
      <c r="F10" s="21">
        <v>836.96</v>
      </c>
      <c r="G10" s="15">
        <v>40</v>
      </c>
      <c r="H10" s="15">
        <v>9.3000000000000007</v>
      </c>
      <c r="I10" s="15">
        <v>4</v>
      </c>
      <c r="J10" s="15" t="s">
        <v>153</v>
      </c>
      <c r="K10" s="79" t="s">
        <v>154</v>
      </c>
    </row>
    <row r="11" spans="2:11" x14ac:dyDescent="0.3">
      <c r="B11" s="14" t="s">
        <v>75</v>
      </c>
      <c r="C11" s="15" t="s">
        <v>145</v>
      </c>
      <c r="D11" s="15"/>
      <c r="E11" s="15">
        <v>45109</v>
      </c>
      <c r="F11" s="21">
        <v>602.99</v>
      </c>
      <c r="G11" s="15">
        <v>40</v>
      </c>
      <c r="H11" s="15">
        <v>7.9</v>
      </c>
      <c r="I11" s="15">
        <v>4</v>
      </c>
      <c r="J11" s="15" t="s">
        <v>155</v>
      </c>
      <c r="K11" s="16" t="s">
        <v>156</v>
      </c>
    </row>
    <row r="12" spans="2:11" x14ac:dyDescent="0.3">
      <c r="B12" s="14" t="s">
        <v>75</v>
      </c>
      <c r="C12" s="15" t="s">
        <v>145</v>
      </c>
      <c r="D12" s="15"/>
      <c r="E12" s="15">
        <v>41323</v>
      </c>
      <c r="F12" s="21">
        <v>429.29</v>
      </c>
      <c r="G12" s="15">
        <v>40</v>
      </c>
      <c r="H12" s="15">
        <v>8</v>
      </c>
      <c r="I12" s="15">
        <v>4</v>
      </c>
      <c r="J12" s="15" t="s">
        <v>157</v>
      </c>
      <c r="K12" s="16" t="s">
        <v>158</v>
      </c>
    </row>
    <row r="13" spans="2:11" x14ac:dyDescent="0.3">
      <c r="B13" s="14" t="s">
        <v>25</v>
      </c>
      <c r="C13" s="15" t="s">
        <v>145</v>
      </c>
      <c r="D13" s="15"/>
      <c r="E13" s="15" t="s">
        <v>159</v>
      </c>
      <c r="F13" s="21">
        <v>926.96</v>
      </c>
      <c r="G13" s="15">
        <v>40</v>
      </c>
      <c r="H13" s="15">
        <v>9.5</v>
      </c>
      <c r="I13" s="15">
        <v>5</v>
      </c>
      <c r="J13" s="15" t="s">
        <v>160</v>
      </c>
      <c r="K13" s="79" t="s">
        <v>161</v>
      </c>
    </row>
    <row r="14" spans="2:11" x14ac:dyDescent="0.3">
      <c r="B14" s="14" t="s">
        <v>75</v>
      </c>
      <c r="C14" s="15" t="s">
        <v>145</v>
      </c>
      <c r="D14" s="15"/>
      <c r="E14" s="15">
        <v>41303</v>
      </c>
      <c r="F14" s="21">
        <v>384.29</v>
      </c>
      <c r="G14" s="15">
        <v>40</v>
      </c>
      <c r="H14" s="15">
        <v>8</v>
      </c>
      <c r="I14" s="15">
        <v>4</v>
      </c>
      <c r="J14" s="15"/>
      <c r="K14" s="16" t="s">
        <v>162</v>
      </c>
    </row>
    <row r="15" spans="2:11" x14ac:dyDescent="0.3">
      <c r="B15" s="14" t="s">
        <v>25</v>
      </c>
      <c r="C15" s="15" t="s">
        <v>145</v>
      </c>
      <c r="D15" s="15"/>
      <c r="E15" s="15" t="s">
        <v>163</v>
      </c>
      <c r="F15" s="21">
        <v>811.96</v>
      </c>
      <c r="G15" s="15">
        <v>40</v>
      </c>
      <c r="H15" s="15">
        <v>6.3</v>
      </c>
      <c r="I15" s="15">
        <v>4</v>
      </c>
      <c r="J15" s="15" t="s">
        <v>153</v>
      </c>
      <c r="K15" s="16" t="s">
        <v>164</v>
      </c>
    </row>
    <row r="16" spans="2:11" x14ac:dyDescent="0.3">
      <c r="B16" s="14" t="s">
        <v>40</v>
      </c>
      <c r="C16" s="15" t="s">
        <v>165</v>
      </c>
      <c r="D16" s="15"/>
      <c r="E16" s="15" t="s">
        <v>166</v>
      </c>
      <c r="F16" s="38">
        <v>1197.9000000000001</v>
      </c>
      <c r="G16" s="15">
        <v>30.8</v>
      </c>
      <c r="H16" s="15">
        <v>9.5</v>
      </c>
      <c r="I16" s="15">
        <v>5</v>
      </c>
      <c r="J16" s="15"/>
      <c r="K16" s="79" t="s">
        <v>167</v>
      </c>
    </row>
    <row r="17" spans="2:11" x14ac:dyDescent="0.3">
      <c r="B17" s="14" t="s">
        <v>22</v>
      </c>
      <c r="C17" s="15" t="s">
        <v>165</v>
      </c>
      <c r="D17" s="15"/>
      <c r="E17" s="15" t="s">
        <v>168</v>
      </c>
      <c r="F17" s="38">
        <v>548.1</v>
      </c>
      <c r="G17" s="15">
        <v>30</v>
      </c>
      <c r="H17" s="15">
        <v>6.7</v>
      </c>
      <c r="I17" s="15">
        <v>4</v>
      </c>
      <c r="J17" s="15" t="s">
        <v>160</v>
      </c>
      <c r="K17" s="16" t="s">
        <v>169</v>
      </c>
    </row>
    <row r="18" spans="2:11" x14ac:dyDescent="0.3">
      <c r="B18" s="14" t="s">
        <v>24</v>
      </c>
      <c r="C18" s="15" t="s">
        <v>165</v>
      </c>
      <c r="D18" s="15"/>
      <c r="E18" s="15" t="s">
        <v>170</v>
      </c>
      <c r="F18" s="38">
        <v>584.1</v>
      </c>
      <c r="G18" s="15">
        <v>40</v>
      </c>
      <c r="H18" s="15">
        <v>7.9</v>
      </c>
      <c r="I18" s="15">
        <v>4</v>
      </c>
      <c r="J18" s="15" t="s">
        <v>171</v>
      </c>
      <c r="K18" s="16" t="s">
        <v>172</v>
      </c>
    </row>
    <row r="19" spans="2:11" x14ac:dyDescent="0.3">
      <c r="B19" s="14" t="s">
        <v>125</v>
      </c>
      <c r="C19" s="15" t="s">
        <v>165</v>
      </c>
      <c r="D19" s="15"/>
      <c r="E19" s="15" t="s">
        <v>173</v>
      </c>
      <c r="F19" s="38">
        <v>989.1</v>
      </c>
      <c r="G19" s="15">
        <v>35.799999999999997</v>
      </c>
      <c r="H19" s="15">
        <v>8.6</v>
      </c>
      <c r="I19" s="15">
        <v>4</v>
      </c>
      <c r="J19" s="15" t="s">
        <v>155</v>
      </c>
      <c r="K19" s="16" t="s">
        <v>174</v>
      </c>
    </row>
    <row r="20" spans="2:11" x14ac:dyDescent="0.3">
      <c r="B20" s="14" t="s">
        <v>25</v>
      </c>
      <c r="C20" s="15" t="s">
        <v>165</v>
      </c>
      <c r="D20" s="15"/>
      <c r="E20" s="15" t="s">
        <v>163</v>
      </c>
      <c r="F20" s="38">
        <v>797.4</v>
      </c>
      <c r="G20" s="15">
        <v>30.4</v>
      </c>
      <c r="H20" s="15">
        <v>7.3</v>
      </c>
      <c r="I20" s="15">
        <v>4</v>
      </c>
      <c r="J20" s="15" t="s">
        <v>153</v>
      </c>
      <c r="K20" s="16" t="s">
        <v>175</v>
      </c>
    </row>
    <row r="21" spans="2:11" x14ac:dyDescent="0.3">
      <c r="B21" s="14" t="s">
        <v>22</v>
      </c>
      <c r="C21" s="15" t="s">
        <v>165</v>
      </c>
      <c r="D21" s="15"/>
      <c r="E21" s="15" t="s">
        <v>176</v>
      </c>
      <c r="F21" s="38">
        <v>584.1</v>
      </c>
      <c r="G21" s="15">
        <v>30</v>
      </c>
      <c r="H21" s="15">
        <v>6.7</v>
      </c>
      <c r="I21" s="15">
        <v>4</v>
      </c>
      <c r="J21" s="15" t="s">
        <v>153</v>
      </c>
      <c r="K21" s="16" t="s">
        <v>177</v>
      </c>
    </row>
    <row r="22" spans="2:11" x14ac:dyDescent="0.3">
      <c r="B22" s="14" t="s">
        <v>30</v>
      </c>
      <c r="C22" s="15" t="s">
        <v>165</v>
      </c>
      <c r="D22" s="15"/>
      <c r="E22" s="15" t="s">
        <v>178</v>
      </c>
      <c r="F22" s="38">
        <v>1169.0999999999999</v>
      </c>
      <c r="G22" s="15">
        <v>40</v>
      </c>
      <c r="H22" s="15">
        <v>10.5</v>
      </c>
      <c r="I22" s="15">
        <v>5</v>
      </c>
      <c r="J22" s="15" t="s">
        <v>160</v>
      </c>
      <c r="K22" s="16" t="s">
        <v>179</v>
      </c>
    </row>
    <row r="23" spans="2:11" x14ac:dyDescent="0.3">
      <c r="B23" s="14" t="s">
        <v>29</v>
      </c>
      <c r="C23" s="15" t="s">
        <v>165</v>
      </c>
      <c r="D23" s="15"/>
      <c r="E23" s="15" t="s">
        <v>180</v>
      </c>
      <c r="F23" s="38">
        <v>1034.0999999999999</v>
      </c>
      <c r="G23" s="15">
        <v>40</v>
      </c>
      <c r="H23" s="15">
        <v>8.4</v>
      </c>
      <c r="I23" s="15">
        <v>4</v>
      </c>
      <c r="J23" s="15" t="s">
        <v>171</v>
      </c>
      <c r="K23" s="16" t="s">
        <v>181</v>
      </c>
    </row>
    <row r="24" spans="2:11" x14ac:dyDescent="0.3">
      <c r="B24" s="14" t="s">
        <v>29</v>
      </c>
      <c r="C24" s="15" t="s">
        <v>165</v>
      </c>
      <c r="D24" s="15"/>
      <c r="E24" s="15" t="s">
        <v>182</v>
      </c>
      <c r="F24" s="38">
        <v>1034.0999999999999</v>
      </c>
      <c r="G24" s="15">
        <v>40</v>
      </c>
      <c r="H24" s="15">
        <v>8.4</v>
      </c>
      <c r="I24" s="15">
        <v>4</v>
      </c>
      <c r="J24" s="15" t="s">
        <v>171</v>
      </c>
      <c r="K24" s="16" t="s">
        <v>183</v>
      </c>
    </row>
    <row r="25" spans="2:11" x14ac:dyDescent="0.3">
      <c r="B25" s="14" t="s">
        <v>40</v>
      </c>
      <c r="C25" s="15" t="s">
        <v>165</v>
      </c>
      <c r="D25" s="15"/>
      <c r="E25" s="15" t="s">
        <v>184</v>
      </c>
      <c r="F25" s="38">
        <v>1394.7</v>
      </c>
      <c r="G25" s="15">
        <v>40</v>
      </c>
      <c r="H25" s="15">
        <v>9.5</v>
      </c>
      <c r="I25" s="15">
        <v>5</v>
      </c>
      <c r="J25" s="15"/>
      <c r="K25" s="16" t="s">
        <v>185</v>
      </c>
    </row>
    <row r="26" spans="2:11" x14ac:dyDescent="0.3">
      <c r="B26" s="14" t="s">
        <v>29</v>
      </c>
      <c r="C26" s="15" t="s">
        <v>165</v>
      </c>
      <c r="D26" s="15"/>
      <c r="E26" s="15" t="s">
        <v>186</v>
      </c>
      <c r="F26" s="38">
        <v>764.1</v>
      </c>
      <c r="G26" s="15">
        <v>30</v>
      </c>
      <c r="H26" s="15">
        <v>7.05</v>
      </c>
      <c r="I26" s="15">
        <v>4</v>
      </c>
      <c r="J26" s="15" t="s">
        <v>171</v>
      </c>
      <c r="K26" s="16" t="s">
        <v>187</v>
      </c>
    </row>
    <row r="27" spans="2:11" x14ac:dyDescent="0.3">
      <c r="B27" s="14" t="s">
        <v>30</v>
      </c>
      <c r="C27" s="15" t="s">
        <v>165</v>
      </c>
      <c r="D27" s="15"/>
      <c r="E27" s="15" t="s">
        <v>188</v>
      </c>
      <c r="F27" s="38">
        <v>1529.1</v>
      </c>
      <c r="G27" s="15">
        <v>40</v>
      </c>
      <c r="H27" s="15">
        <v>8.6999999999999993</v>
      </c>
      <c r="I27" s="15">
        <v>4</v>
      </c>
      <c r="J27" s="15" t="s">
        <v>157</v>
      </c>
      <c r="K27" s="16" t="s">
        <v>189</v>
      </c>
    </row>
    <row r="28" spans="2:11" x14ac:dyDescent="0.3">
      <c r="B28" s="14" t="s">
        <v>40</v>
      </c>
      <c r="C28" s="15" t="s">
        <v>165</v>
      </c>
      <c r="D28" s="15"/>
      <c r="E28" s="15" t="s">
        <v>190</v>
      </c>
      <c r="F28" s="38">
        <v>898.2</v>
      </c>
      <c r="G28" s="15">
        <v>30.8</v>
      </c>
      <c r="H28" s="15">
        <v>9.5</v>
      </c>
      <c r="I28" s="15">
        <v>5</v>
      </c>
      <c r="J28" s="15"/>
      <c r="K28" s="16" t="s">
        <v>191</v>
      </c>
    </row>
    <row r="29" spans="2:11" x14ac:dyDescent="0.3">
      <c r="B29" s="14" t="s">
        <v>30</v>
      </c>
      <c r="C29" s="15" t="s">
        <v>165</v>
      </c>
      <c r="D29" s="15"/>
      <c r="E29" s="15" t="s">
        <v>192</v>
      </c>
      <c r="F29" s="38">
        <v>1259.0999999999999</v>
      </c>
      <c r="G29" s="15">
        <v>40</v>
      </c>
      <c r="H29" s="15">
        <v>10.5</v>
      </c>
      <c r="I29" s="15">
        <v>5</v>
      </c>
      <c r="J29" s="15" t="s">
        <v>160</v>
      </c>
      <c r="K29" s="16" t="s">
        <v>193</v>
      </c>
    </row>
    <row r="30" spans="2:11" x14ac:dyDescent="0.3">
      <c r="B30" s="14" t="s">
        <v>29</v>
      </c>
      <c r="C30" s="15" t="s">
        <v>165</v>
      </c>
      <c r="D30" s="15"/>
      <c r="E30" s="15" t="s">
        <v>194</v>
      </c>
      <c r="F30" s="38">
        <v>899.1</v>
      </c>
      <c r="G30" s="15">
        <v>30</v>
      </c>
      <c r="H30" s="15">
        <v>7.2</v>
      </c>
      <c r="I30" s="15">
        <v>4</v>
      </c>
      <c r="J30" s="15" t="s">
        <v>171</v>
      </c>
      <c r="K30" s="16" t="s">
        <v>195</v>
      </c>
    </row>
    <row r="31" spans="2:11" x14ac:dyDescent="0.3">
      <c r="B31" s="14" t="s">
        <v>30</v>
      </c>
      <c r="C31" s="15" t="s">
        <v>165</v>
      </c>
      <c r="D31" s="15"/>
      <c r="E31" s="15" t="s">
        <v>196</v>
      </c>
      <c r="F31" s="38">
        <v>1619.1</v>
      </c>
      <c r="G31" s="15">
        <v>40</v>
      </c>
      <c r="H31" s="15">
        <v>10.5</v>
      </c>
      <c r="I31" s="15">
        <v>5</v>
      </c>
      <c r="J31" s="15" t="s">
        <v>157</v>
      </c>
      <c r="K31" s="16" t="s">
        <v>197</v>
      </c>
    </row>
    <row r="32" spans="2:11" x14ac:dyDescent="0.3">
      <c r="B32" s="14" t="s">
        <v>22</v>
      </c>
      <c r="C32" s="15" t="s">
        <v>165</v>
      </c>
      <c r="D32" s="15"/>
      <c r="E32" s="15" t="s">
        <v>198</v>
      </c>
      <c r="F32" s="38">
        <v>648</v>
      </c>
      <c r="G32" s="15">
        <v>40</v>
      </c>
      <c r="H32" s="15">
        <v>8</v>
      </c>
      <c r="I32" s="15">
        <v>5</v>
      </c>
      <c r="J32" s="15" t="s">
        <v>160</v>
      </c>
      <c r="K32" s="16" t="s">
        <v>199</v>
      </c>
    </row>
    <row r="33" spans="2:11" x14ac:dyDescent="0.3">
      <c r="B33" s="14" t="s">
        <v>27</v>
      </c>
      <c r="C33" s="15" t="s">
        <v>165</v>
      </c>
      <c r="D33" s="15"/>
      <c r="E33" s="15" t="s">
        <v>200</v>
      </c>
      <c r="F33" s="38">
        <v>764.1</v>
      </c>
      <c r="G33" s="15">
        <v>40</v>
      </c>
      <c r="H33" s="15">
        <v>7.8</v>
      </c>
      <c r="I33" s="15">
        <v>4</v>
      </c>
      <c r="J33" s="15" t="s">
        <v>160</v>
      </c>
      <c r="K33" s="16" t="s">
        <v>201</v>
      </c>
    </row>
    <row r="34" spans="2:11" x14ac:dyDescent="0.3">
      <c r="B34" s="14" t="s">
        <v>202</v>
      </c>
      <c r="C34" s="15" t="s">
        <v>165</v>
      </c>
      <c r="D34" s="15"/>
      <c r="E34" s="15" t="s">
        <v>203</v>
      </c>
      <c r="F34" s="38">
        <v>1106.0999999999999</v>
      </c>
      <c r="G34" s="15">
        <v>39.200000000000003</v>
      </c>
      <c r="H34" s="15">
        <v>9.4</v>
      </c>
      <c r="I34" s="15">
        <v>5</v>
      </c>
      <c r="J34" s="15" t="s">
        <v>157</v>
      </c>
      <c r="K34" s="16" t="s">
        <v>204</v>
      </c>
    </row>
    <row r="35" spans="2:11" x14ac:dyDescent="0.3">
      <c r="B35" s="14" t="s">
        <v>29</v>
      </c>
      <c r="C35" s="15" t="s">
        <v>165</v>
      </c>
      <c r="D35" s="15"/>
      <c r="E35" s="15" t="s">
        <v>205</v>
      </c>
      <c r="F35" s="38">
        <v>944.1</v>
      </c>
      <c r="G35" s="15">
        <v>40</v>
      </c>
      <c r="H35" s="15">
        <v>9</v>
      </c>
      <c r="I35" s="15">
        <v>5</v>
      </c>
      <c r="J35" s="15" t="s">
        <v>171</v>
      </c>
      <c r="K35" s="16" t="s">
        <v>206</v>
      </c>
    </row>
    <row r="36" spans="2:11" x14ac:dyDescent="0.3">
      <c r="B36" s="14" t="s">
        <v>40</v>
      </c>
      <c r="C36" s="15" t="s">
        <v>165</v>
      </c>
      <c r="D36" s="15"/>
      <c r="E36" s="15" t="s">
        <v>207</v>
      </c>
      <c r="F36" s="38">
        <v>1098</v>
      </c>
      <c r="G36" s="15">
        <v>40</v>
      </c>
      <c r="H36" s="15">
        <v>9.5</v>
      </c>
      <c r="I36" s="15">
        <v>5</v>
      </c>
      <c r="J36" s="15"/>
      <c r="K36" s="16" t="s">
        <v>208</v>
      </c>
    </row>
    <row r="37" spans="2:11" x14ac:dyDescent="0.3">
      <c r="B37" s="14" t="s">
        <v>22</v>
      </c>
      <c r="C37" s="15" t="s">
        <v>165</v>
      </c>
      <c r="D37" s="15"/>
      <c r="E37" s="15" t="s">
        <v>209</v>
      </c>
      <c r="F37" s="38">
        <v>764.1</v>
      </c>
      <c r="G37" s="15">
        <v>40</v>
      </c>
      <c r="H37" s="15">
        <v>8.5</v>
      </c>
      <c r="I37" s="15">
        <v>5</v>
      </c>
      <c r="J37" s="15" t="s">
        <v>160</v>
      </c>
      <c r="K37" s="16" t="s">
        <v>210</v>
      </c>
    </row>
    <row r="38" spans="2:11" x14ac:dyDescent="0.3">
      <c r="B38" s="14" t="s">
        <v>29</v>
      </c>
      <c r="C38" s="15" t="s">
        <v>146</v>
      </c>
      <c r="D38" s="15"/>
      <c r="E38" s="15" t="s">
        <v>182</v>
      </c>
      <c r="F38" s="21">
        <v>1029.0999999999999</v>
      </c>
      <c r="G38" s="15">
        <v>40</v>
      </c>
      <c r="H38" s="15">
        <v>8.4</v>
      </c>
      <c r="I38" s="15">
        <v>4</v>
      </c>
      <c r="J38" s="15" t="s">
        <v>211</v>
      </c>
      <c r="K38" s="79" t="s">
        <v>212</v>
      </c>
    </row>
    <row r="39" spans="2:11" x14ac:dyDescent="0.3">
      <c r="B39" s="14" t="s">
        <v>24</v>
      </c>
      <c r="C39" s="15" t="s">
        <v>146</v>
      </c>
      <c r="D39" s="15"/>
      <c r="E39" s="15" t="s">
        <v>213</v>
      </c>
      <c r="F39" s="21">
        <v>589</v>
      </c>
      <c r="G39" s="15">
        <v>40</v>
      </c>
      <c r="H39" s="15">
        <v>7.9</v>
      </c>
      <c r="I39" s="15">
        <v>4</v>
      </c>
      <c r="J39" s="15"/>
      <c r="K39" s="79" t="s">
        <v>214</v>
      </c>
    </row>
    <row r="40" spans="2:11" x14ac:dyDescent="0.3">
      <c r="B40" s="14" t="s">
        <v>25</v>
      </c>
      <c r="C40" s="15" t="s">
        <v>146</v>
      </c>
      <c r="D40" s="15"/>
      <c r="E40" s="15" t="s">
        <v>215</v>
      </c>
      <c r="F40" s="21">
        <v>650</v>
      </c>
      <c r="G40" s="15">
        <v>30</v>
      </c>
      <c r="H40" s="15">
        <v>7.4</v>
      </c>
      <c r="I40" s="15">
        <v>4</v>
      </c>
      <c r="J40" s="15" t="s">
        <v>153</v>
      </c>
      <c r="K40" s="79" t="s">
        <v>216</v>
      </c>
    </row>
    <row r="41" spans="2:11" x14ac:dyDescent="0.3">
      <c r="B41" s="14" t="s">
        <v>25</v>
      </c>
      <c r="C41" s="15" t="s">
        <v>146</v>
      </c>
      <c r="D41" s="15"/>
      <c r="E41" s="15" t="s">
        <v>217</v>
      </c>
      <c r="F41" s="21">
        <v>893</v>
      </c>
      <c r="G41" s="15">
        <v>30</v>
      </c>
      <c r="H41" s="15">
        <v>7.3</v>
      </c>
      <c r="I41" s="15">
        <v>4</v>
      </c>
      <c r="J41" s="15" t="s">
        <v>153</v>
      </c>
      <c r="K41" s="79" t="s">
        <v>218</v>
      </c>
    </row>
    <row r="42" spans="2:11" x14ac:dyDescent="0.3">
      <c r="B42" s="14" t="s">
        <v>22</v>
      </c>
      <c r="C42" s="15" t="s">
        <v>146</v>
      </c>
      <c r="D42" s="15"/>
      <c r="E42" s="15" t="s">
        <v>219</v>
      </c>
      <c r="F42" s="21">
        <v>669.1</v>
      </c>
      <c r="G42" s="15">
        <v>30</v>
      </c>
      <c r="H42" s="15">
        <v>6.7</v>
      </c>
      <c r="I42" s="15">
        <v>4</v>
      </c>
      <c r="J42" s="15"/>
      <c r="K42" s="79" t="s">
        <v>220</v>
      </c>
    </row>
    <row r="43" spans="2:11" x14ac:dyDescent="0.3">
      <c r="B43" s="14" t="s">
        <v>29</v>
      </c>
      <c r="C43" s="15" t="s">
        <v>146</v>
      </c>
      <c r="D43" s="15"/>
      <c r="E43" s="15" t="s">
        <v>194</v>
      </c>
      <c r="F43" s="21">
        <v>894.1</v>
      </c>
      <c r="G43" s="15">
        <v>30</v>
      </c>
      <c r="H43" s="15">
        <v>7.2</v>
      </c>
      <c r="I43" s="15">
        <v>4</v>
      </c>
      <c r="J43" s="15"/>
      <c r="K43" s="79" t="s">
        <v>221</v>
      </c>
    </row>
    <row r="44" spans="2:11" x14ac:dyDescent="0.3">
      <c r="B44" s="14" t="s">
        <v>222</v>
      </c>
      <c r="C44" s="15" t="s">
        <v>146</v>
      </c>
      <c r="D44" s="15"/>
      <c r="E44" s="15" t="s">
        <v>223</v>
      </c>
      <c r="F44" s="21">
        <v>1049</v>
      </c>
      <c r="G44" s="15">
        <v>30</v>
      </c>
      <c r="H44" s="15">
        <v>6.8</v>
      </c>
      <c r="I44" s="15">
        <v>4</v>
      </c>
      <c r="J44" s="15"/>
      <c r="K44" s="79" t="s">
        <v>224</v>
      </c>
    </row>
    <row r="45" spans="2:11" x14ac:dyDescent="0.3">
      <c r="B45" s="14" t="s">
        <v>149</v>
      </c>
      <c r="C45" s="15" t="s">
        <v>146</v>
      </c>
      <c r="D45" s="15"/>
      <c r="E45" s="15" t="s">
        <v>225</v>
      </c>
      <c r="F45" s="21">
        <v>944</v>
      </c>
      <c r="G45" s="15">
        <v>30</v>
      </c>
      <c r="H45" s="15">
        <v>6</v>
      </c>
      <c r="I45" s="15">
        <v>4</v>
      </c>
      <c r="J45" s="15"/>
      <c r="K45" s="79" t="s">
        <v>226</v>
      </c>
    </row>
    <row r="46" spans="2:11" x14ac:dyDescent="0.3">
      <c r="B46" s="14" t="s">
        <v>222</v>
      </c>
      <c r="C46" s="15" t="s">
        <v>146</v>
      </c>
      <c r="D46" s="15"/>
      <c r="E46" s="15" t="s">
        <v>227</v>
      </c>
      <c r="F46" s="21">
        <v>799</v>
      </c>
      <c r="G46" s="15">
        <v>30</v>
      </c>
      <c r="H46" s="15">
        <v>6</v>
      </c>
      <c r="I46" s="15">
        <v>4</v>
      </c>
      <c r="J46" s="15"/>
      <c r="K46" s="79" t="s">
        <v>228</v>
      </c>
    </row>
    <row r="47" spans="2:11" x14ac:dyDescent="0.3">
      <c r="B47" s="14" t="s">
        <v>29</v>
      </c>
      <c r="C47" s="15" t="s">
        <v>146</v>
      </c>
      <c r="D47" s="15"/>
      <c r="E47" s="15" t="s">
        <v>186</v>
      </c>
      <c r="F47" s="21">
        <v>759.1</v>
      </c>
      <c r="G47" s="15">
        <v>30</v>
      </c>
      <c r="H47" s="15">
        <v>7</v>
      </c>
      <c r="I47" s="15">
        <v>4</v>
      </c>
      <c r="J47" s="15"/>
      <c r="K47" s="79" t="s">
        <v>229</v>
      </c>
    </row>
    <row r="48" spans="2:11" x14ac:dyDescent="0.3">
      <c r="B48" s="14" t="s">
        <v>147</v>
      </c>
      <c r="C48" s="15" t="s">
        <v>146</v>
      </c>
      <c r="D48" s="15"/>
      <c r="E48" s="15" t="s">
        <v>230</v>
      </c>
      <c r="F48" s="21">
        <v>889</v>
      </c>
      <c r="G48" s="15">
        <v>30</v>
      </c>
      <c r="H48" s="15">
        <v>7.1</v>
      </c>
      <c r="I48" s="15">
        <v>4</v>
      </c>
      <c r="J48" s="15"/>
      <c r="K48" s="79" t="s">
        <v>231</v>
      </c>
    </row>
    <row r="49" spans="2:11" x14ac:dyDescent="0.3">
      <c r="B49" s="14" t="s">
        <v>125</v>
      </c>
      <c r="C49" s="15" t="s">
        <v>146</v>
      </c>
      <c r="D49" s="15"/>
      <c r="E49" s="15" t="s">
        <v>173</v>
      </c>
      <c r="F49" s="21">
        <v>1099</v>
      </c>
      <c r="G49" s="15">
        <v>40</v>
      </c>
      <c r="H49" s="15">
        <v>8.6</v>
      </c>
      <c r="I49" s="15">
        <v>4</v>
      </c>
      <c r="J49" s="15" t="s">
        <v>232</v>
      </c>
      <c r="K49" s="79" t="s">
        <v>233</v>
      </c>
    </row>
    <row r="50" spans="2:11" x14ac:dyDescent="0.3">
      <c r="B50" s="14" t="s">
        <v>46</v>
      </c>
      <c r="C50" s="15" t="s">
        <v>146</v>
      </c>
      <c r="D50" s="15"/>
      <c r="E50" s="15" t="s">
        <v>234</v>
      </c>
      <c r="F50" s="21">
        <v>579</v>
      </c>
      <c r="G50" s="15">
        <v>30</v>
      </c>
      <c r="H50" s="15">
        <v>6.7</v>
      </c>
      <c r="I50" s="15">
        <v>4</v>
      </c>
      <c r="J50" s="15" t="s">
        <v>160</v>
      </c>
      <c r="K50" s="79" t="s">
        <v>235</v>
      </c>
    </row>
    <row r="51" spans="2:11" x14ac:dyDescent="0.3">
      <c r="B51" s="14" t="s">
        <v>24</v>
      </c>
      <c r="C51" s="15" t="s">
        <v>146</v>
      </c>
      <c r="D51" s="15"/>
      <c r="E51" s="15" t="s">
        <v>236</v>
      </c>
      <c r="F51" s="21">
        <v>578.1</v>
      </c>
      <c r="G51" s="15">
        <v>40</v>
      </c>
      <c r="H51" s="15">
        <v>8.4</v>
      </c>
      <c r="I51" s="15">
        <v>4</v>
      </c>
      <c r="J51" s="15"/>
      <c r="K51" s="79" t="s">
        <v>237</v>
      </c>
    </row>
    <row r="52" spans="2:11" x14ac:dyDescent="0.3">
      <c r="B52" s="14" t="s">
        <v>147</v>
      </c>
      <c r="C52" s="15" t="s">
        <v>146</v>
      </c>
      <c r="D52" s="15"/>
      <c r="E52" s="15" t="s">
        <v>238</v>
      </c>
      <c r="F52" s="21">
        <v>739</v>
      </c>
      <c r="G52" s="15">
        <v>30</v>
      </c>
      <c r="H52" s="15">
        <v>6.1</v>
      </c>
      <c r="I52" s="15">
        <v>4</v>
      </c>
      <c r="J52" s="15"/>
      <c r="K52" s="79" t="s">
        <v>239</v>
      </c>
    </row>
    <row r="53" spans="2:11" x14ac:dyDescent="0.3">
      <c r="B53" s="14" t="s">
        <v>25</v>
      </c>
      <c r="C53" s="15" t="s">
        <v>146</v>
      </c>
      <c r="D53" s="15"/>
      <c r="E53" s="15" t="s">
        <v>240</v>
      </c>
      <c r="F53" s="21">
        <v>785</v>
      </c>
      <c r="G53" s="15">
        <v>40</v>
      </c>
      <c r="H53" s="15">
        <v>8.3000000000000007</v>
      </c>
      <c r="I53" s="15">
        <v>4</v>
      </c>
      <c r="J53" s="15" t="s">
        <v>153</v>
      </c>
      <c r="K53" s="79" t="s">
        <v>241</v>
      </c>
    </row>
    <row r="54" spans="2:11" x14ac:dyDescent="0.3">
      <c r="B54" s="14" t="s">
        <v>24</v>
      </c>
      <c r="C54" s="15" t="s">
        <v>146</v>
      </c>
      <c r="D54" s="15"/>
      <c r="E54" s="15" t="s">
        <v>242</v>
      </c>
      <c r="F54" s="21">
        <v>758.1</v>
      </c>
      <c r="G54" s="15">
        <v>40</v>
      </c>
      <c r="H54" s="15">
        <v>8.6</v>
      </c>
      <c r="I54" s="15">
        <v>4</v>
      </c>
      <c r="J54" s="15" t="s">
        <v>160</v>
      </c>
      <c r="K54" s="79" t="s">
        <v>243</v>
      </c>
    </row>
    <row r="55" spans="2:11" x14ac:dyDescent="0.3">
      <c r="B55" s="14" t="s">
        <v>244</v>
      </c>
      <c r="C55" s="15" t="s">
        <v>146</v>
      </c>
      <c r="D55" s="15"/>
      <c r="E55" s="15" t="s">
        <v>245</v>
      </c>
      <c r="F55" s="21">
        <v>949</v>
      </c>
      <c r="G55" s="15">
        <v>30</v>
      </c>
      <c r="H55" s="15">
        <v>7.1</v>
      </c>
      <c r="I55" s="15">
        <v>4</v>
      </c>
      <c r="J55" s="15"/>
      <c r="K55" s="79" t="s">
        <v>246</v>
      </c>
    </row>
    <row r="56" spans="2:11" x14ac:dyDescent="0.3">
      <c r="B56" s="14" t="s">
        <v>247</v>
      </c>
      <c r="C56" s="15" t="s">
        <v>146</v>
      </c>
      <c r="D56" s="15"/>
      <c r="E56" s="15" t="s">
        <v>248</v>
      </c>
      <c r="F56" s="21">
        <v>1399</v>
      </c>
      <c r="G56" s="15">
        <v>40</v>
      </c>
      <c r="H56" s="15">
        <v>10.48</v>
      </c>
      <c r="I56" s="15">
        <v>4</v>
      </c>
      <c r="J56" s="15" t="s">
        <v>160</v>
      </c>
      <c r="K56" s="79" t="s">
        <v>249</v>
      </c>
    </row>
    <row r="57" spans="2:11" x14ac:dyDescent="0.3">
      <c r="B57" s="14" t="s">
        <v>31</v>
      </c>
      <c r="C57" s="15" t="s">
        <v>146</v>
      </c>
      <c r="D57" s="15"/>
      <c r="E57" s="15" t="s">
        <v>250</v>
      </c>
      <c r="F57" s="21">
        <v>359</v>
      </c>
      <c r="G57" s="15">
        <v>20</v>
      </c>
      <c r="H57" s="15">
        <v>6</v>
      </c>
      <c r="I57" s="15">
        <v>4</v>
      </c>
      <c r="J57" s="15" t="s">
        <v>160</v>
      </c>
      <c r="K57" s="79" t="s">
        <v>251</v>
      </c>
    </row>
    <row r="58" spans="2:11" x14ac:dyDescent="0.3">
      <c r="B58" s="14" t="s">
        <v>222</v>
      </c>
      <c r="C58" s="15" t="s">
        <v>146</v>
      </c>
      <c r="D58" s="15"/>
      <c r="E58" s="15" t="s">
        <v>252</v>
      </c>
      <c r="F58" s="21">
        <v>999</v>
      </c>
      <c r="G58" s="15">
        <v>30</v>
      </c>
      <c r="H58" s="15">
        <v>7.1</v>
      </c>
      <c r="I58" s="15">
        <v>4</v>
      </c>
      <c r="J58" s="15"/>
      <c r="K58" s="79" t="s">
        <v>253</v>
      </c>
    </row>
    <row r="59" spans="2:11" x14ac:dyDescent="0.3">
      <c r="B59" s="14" t="s">
        <v>247</v>
      </c>
      <c r="C59" s="15" t="s">
        <v>146</v>
      </c>
      <c r="D59" s="15"/>
      <c r="E59" s="15" t="s">
        <v>254</v>
      </c>
      <c r="F59" s="21">
        <v>1149</v>
      </c>
      <c r="G59" s="15">
        <v>30</v>
      </c>
      <c r="H59" s="15">
        <v>8.3000000000000007</v>
      </c>
      <c r="I59" s="15">
        <v>4</v>
      </c>
      <c r="J59" s="15"/>
      <c r="K59" s="79" t="s">
        <v>255</v>
      </c>
    </row>
    <row r="60" spans="2:11" x14ac:dyDescent="0.3">
      <c r="B60" s="14" t="s">
        <v>24</v>
      </c>
      <c r="C60" s="15" t="s">
        <v>146</v>
      </c>
      <c r="D60" s="15"/>
      <c r="E60" s="15" t="s">
        <v>256</v>
      </c>
      <c r="F60" s="21">
        <v>579</v>
      </c>
      <c r="G60" s="15">
        <v>30</v>
      </c>
      <c r="H60" s="15">
        <v>7.4</v>
      </c>
      <c r="I60" s="15">
        <v>4</v>
      </c>
      <c r="J60" s="15"/>
      <c r="K60" s="79" t="s">
        <v>257</v>
      </c>
    </row>
    <row r="61" spans="2:11" x14ac:dyDescent="0.3">
      <c r="B61" s="14" t="s">
        <v>222</v>
      </c>
      <c r="C61" s="15" t="s">
        <v>146</v>
      </c>
      <c r="D61" s="15"/>
      <c r="E61" s="15" t="s">
        <v>258</v>
      </c>
      <c r="F61" s="21">
        <v>729</v>
      </c>
      <c r="G61" s="15">
        <v>30</v>
      </c>
      <c r="H61" s="15">
        <v>6</v>
      </c>
      <c r="I61" s="15">
        <v>4</v>
      </c>
      <c r="J61" s="15"/>
      <c r="K61" s="79" t="s">
        <v>259</v>
      </c>
    </row>
    <row r="62" spans="2:11" x14ac:dyDescent="0.3">
      <c r="B62" s="14" t="s">
        <v>29</v>
      </c>
      <c r="C62" s="15" t="s">
        <v>146</v>
      </c>
      <c r="D62" s="15"/>
      <c r="E62" s="15" t="s">
        <v>260</v>
      </c>
      <c r="F62" s="21">
        <v>1299</v>
      </c>
      <c r="G62" s="15">
        <v>40</v>
      </c>
      <c r="H62" s="15">
        <v>9.5</v>
      </c>
      <c r="I62" s="15">
        <v>5</v>
      </c>
      <c r="J62" s="15" t="s">
        <v>160</v>
      </c>
      <c r="K62" s="79" t="s">
        <v>261</v>
      </c>
    </row>
    <row r="63" spans="2:11" x14ac:dyDescent="0.3">
      <c r="B63" s="14" t="s">
        <v>25</v>
      </c>
      <c r="C63" s="15" t="s">
        <v>146</v>
      </c>
      <c r="D63" s="15"/>
      <c r="E63" s="15" t="s">
        <v>262</v>
      </c>
      <c r="F63" s="21">
        <v>785</v>
      </c>
      <c r="G63" s="15">
        <v>40</v>
      </c>
      <c r="H63" s="15">
        <v>9.1</v>
      </c>
      <c r="I63" s="15">
        <v>5</v>
      </c>
      <c r="J63" s="15" t="s">
        <v>160</v>
      </c>
      <c r="K63" s="79" t="s">
        <v>263</v>
      </c>
    </row>
    <row r="64" spans="2:11" x14ac:dyDescent="0.3">
      <c r="B64" s="14" t="s">
        <v>25</v>
      </c>
      <c r="C64" s="15" t="s">
        <v>146</v>
      </c>
      <c r="D64" s="15"/>
      <c r="E64" s="15" t="s">
        <v>264</v>
      </c>
      <c r="F64" s="21">
        <v>993</v>
      </c>
      <c r="G64" s="15">
        <v>40</v>
      </c>
      <c r="H64" s="15">
        <v>9.3000000000000007</v>
      </c>
      <c r="I64" s="15">
        <v>5</v>
      </c>
      <c r="J64" s="15" t="s">
        <v>160</v>
      </c>
      <c r="K64" s="79" t="s">
        <v>265</v>
      </c>
    </row>
    <row r="65" spans="2:11" x14ac:dyDescent="0.3">
      <c r="B65" s="14" t="s">
        <v>148</v>
      </c>
      <c r="C65" s="15" t="s">
        <v>146</v>
      </c>
      <c r="D65" s="15"/>
      <c r="E65" s="15" t="s">
        <v>266</v>
      </c>
      <c r="F65" s="21">
        <v>1429</v>
      </c>
      <c r="G65" s="15">
        <v>40</v>
      </c>
      <c r="H65" s="15">
        <v>9.6</v>
      </c>
      <c r="I65" s="15">
        <v>5</v>
      </c>
      <c r="J65" s="15"/>
      <c r="K65" s="79" t="s">
        <v>267</v>
      </c>
    </row>
    <row r="66" spans="2:11" x14ac:dyDescent="0.3">
      <c r="B66" s="14" t="s">
        <v>22</v>
      </c>
      <c r="C66" s="15" t="s">
        <v>146</v>
      </c>
      <c r="D66" s="15"/>
      <c r="E66" s="15" t="s">
        <v>268</v>
      </c>
      <c r="F66" s="21">
        <v>1119.0999999999999</v>
      </c>
      <c r="G66" s="15">
        <v>40</v>
      </c>
      <c r="H66" s="15">
        <v>9.1</v>
      </c>
      <c r="I66" s="15">
        <v>5</v>
      </c>
      <c r="J66" s="15"/>
      <c r="K66" s="79" t="s">
        <v>269</v>
      </c>
    </row>
    <row r="67" spans="2:11" x14ac:dyDescent="0.3">
      <c r="B67" s="14" t="s">
        <v>25</v>
      </c>
      <c r="C67" s="15" t="s">
        <v>146</v>
      </c>
      <c r="D67" s="15"/>
      <c r="E67" s="15" t="s">
        <v>270</v>
      </c>
      <c r="F67" s="21">
        <v>1343</v>
      </c>
      <c r="G67" s="15">
        <v>40</v>
      </c>
      <c r="H67" s="15">
        <v>9.5</v>
      </c>
      <c r="I67" s="15">
        <v>5</v>
      </c>
      <c r="J67" s="15" t="s">
        <v>160</v>
      </c>
      <c r="K67" s="79" t="s">
        <v>271</v>
      </c>
    </row>
    <row r="68" spans="2:11" x14ac:dyDescent="0.3">
      <c r="B68" s="14" t="s">
        <v>25</v>
      </c>
      <c r="C68" s="15" t="s">
        <v>146</v>
      </c>
      <c r="D68" s="15"/>
      <c r="E68" s="15" t="s">
        <v>272</v>
      </c>
      <c r="F68" s="21">
        <v>965</v>
      </c>
      <c r="G68" s="15">
        <v>40</v>
      </c>
      <c r="H68" s="15">
        <v>9.5</v>
      </c>
      <c r="I68" s="15">
        <v>5</v>
      </c>
      <c r="J68" s="15" t="s">
        <v>160</v>
      </c>
      <c r="K68" s="79" t="s">
        <v>273</v>
      </c>
    </row>
    <row r="69" spans="2:11" x14ac:dyDescent="0.3">
      <c r="B69" s="14" t="s">
        <v>24</v>
      </c>
      <c r="C69" s="15" t="s">
        <v>146</v>
      </c>
      <c r="D69" s="15"/>
      <c r="E69" s="15" t="s">
        <v>274</v>
      </c>
      <c r="F69" s="21">
        <v>848.1</v>
      </c>
      <c r="G69" s="15">
        <v>40</v>
      </c>
      <c r="H69" s="15">
        <v>9.1999999999999993</v>
      </c>
      <c r="I69" s="15">
        <v>5</v>
      </c>
      <c r="J69" s="15" t="s">
        <v>160</v>
      </c>
      <c r="K69" s="79" t="s">
        <v>275</v>
      </c>
    </row>
    <row r="70" spans="2:11" x14ac:dyDescent="0.3">
      <c r="B70" s="14" t="s">
        <v>25</v>
      </c>
      <c r="C70" s="15" t="s">
        <v>146</v>
      </c>
      <c r="D70" s="15"/>
      <c r="E70" s="15" t="s">
        <v>276</v>
      </c>
      <c r="F70" s="21">
        <v>1433</v>
      </c>
      <c r="G70" s="15">
        <v>40</v>
      </c>
      <c r="H70" s="15">
        <v>9.6</v>
      </c>
      <c r="I70" s="15">
        <v>5</v>
      </c>
      <c r="J70" s="15" t="s">
        <v>160</v>
      </c>
      <c r="K70" s="79" t="s">
        <v>277</v>
      </c>
    </row>
    <row r="71" spans="2:11" x14ac:dyDescent="0.3">
      <c r="B71" s="14" t="s">
        <v>22</v>
      </c>
      <c r="C71" s="15" t="s">
        <v>146</v>
      </c>
      <c r="D71" s="15"/>
      <c r="E71" s="15" t="s">
        <v>278</v>
      </c>
      <c r="F71" s="21">
        <v>1209.0999999999999</v>
      </c>
      <c r="G71" s="15">
        <v>40</v>
      </c>
      <c r="H71" s="15">
        <v>9.1</v>
      </c>
      <c r="I71" s="15">
        <v>5</v>
      </c>
      <c r="J71" s="15" t="s">
        <v>160</v>
      </c>
      <c r="K71" s="79" t="s">
        <v>279</v>
      </c>
    </row>
    <row r="72" spans="2:11" x14ac:dyDescent="0.3">
      <c r="B72" s="14" t="s">
        <v>202</v>
      </c>
      <c r="C72" s="15" t="s">
        <v>146</v>
      </c>
      <c r="D72" s="15"/>
      <c r="E72" s="15" t="s">
        <v>280</v>
      </c>
      <c r="F72" s="21">
        <v>1190</v>
      </c>
      <c r="G72" s="15">
        <v>40</v>
      </c>
      <c r="H72" s="15">
        <v>9.4</v>
      </c>
      <c r="I72" s="15">
        <v>5</v>
      </c>
      <c r="J72" s="15" t="s">
        <v>160</v>
      </c>
      <c r="K72" s="79" t="s">
        <v>281</v>
      </c>
    </row>
    <row r="73" spans="2:11" x14ac:dyDescent="0.3">
      <c r="B73" s="14" t="s">
        <v>24</v>
      </c>
      <c r="C73" s="15" t="s">
        <v>146</v>
      </c>
      <c r="D73" s="15"/>
      <c r="E73" s="15" t="s">
        <v>282</v>
      </c>
      <c r="F73" s="21">
        <v>873</v>
      </c>
      <c r="G73" s="15">
        <v>40</v>
      </c>
      <c r="H73" s="15">
        <v>9.4499999999999993</v>
      </c>
      <c r="I73" s="15">
        <v>5</v>
      </c>
      <c r="J73" s="15" t="s">
        <v>160</v>
      </c>
      <c r="K73" s="79" t="s">
        <v>283</v>
      </c>
    </row>
    <row r="74" spans="2:11" x14ac:dyDescent="0.3">
      <c r="B74" s="14" t="s">
        <v>24</v>
      </c>
      <c r="C74" s="15" t="s">
        <v>146</v>
      </c>
      <c r="D74" s="15"/>
      <c r="E74" s="15" t="s">
        <v>284</v>
      </c>
      <c r="F74" s="21">
        <v>668.1</v>
      </c>
      <c r="G74" s="15">
        <v>40</v>
      </c>
      <c r="H74" s="15">
        <v>8</v>
      </c>
      <c r="I74" s="15">
        <v>5</v>
      </c>
      <c r="J74" s="15"/>
      <c r="K74" s="79" t="s">
        <v>285</v>
      </c>
    </row>
    <row r="75" spans="2:11" x14ac:dyDescent="0.3">
      <c r="B75" s="14" t="s">
        <v>24</v>
      </c>
      <c r="C75" s="15" t="s">
        <v>146</v>
      </c>
      <c r="D75" s="15"/>
      <c r="E75" s="15" t="s">
        <v>286</v>
      </c>
      <c r="F75" s="21">
        <v>668.1</v>
      </c>
      <c r="G75" s="15">
        <v>40</v>
      </c>
      <c r="H75" s="15">
        <v>8.8000000000000007</v>
      </c>
      <c r="I75" s="15">
        <v>5</v>
      </c>
      <c r="J75" s="15"/>
      <c r="K75" s="79" t="s">
        <v>287</v>
      </c>
    </row>
    <row r="76" spans="2:11" x14ac:dyDescent="0.3">
      <c r="B76" s="14" t="s">
        <v>147</v>
      </c>
      <c r="C76" s="15" t="s">
        <v>146</v>
      </c>
      <c r="D76" s="15"/>
      <c r="E76" s="15" t="s">
        <v>288</v>
      </c>
      <c r="F76" s="21">
        <v>1230</v>
      </c>
      <c r="G76" s="15">
        <v>40</v>
      </c>
      <c r="H76" s="15">
        <v>8.6999999999999993</v>
      </c>
      <c r="I76" s="15">
        <v>5</v>
      </c>
      <c r="J76" s="15"/>
      <c r="K76" s="79" t="s">
        <v>289</v>
      </c>
    </row>
    <row r="77" spans="2:11" x14ac:dyDescent="0.3">
      <c r="B77" s="14" t="s">
        <v>147</v>
      </c>
      <c r="C77" s="15" t="s">
        <v>146</v>
      </c>
      <c r="D77" s="15"/>
      <c r="E77" s="15" t="s">
        <v>290</v>
      </c>
      <c r="F77" s="21">
        <v>1059</v>
      </c>
      <c r="G77" s="15">
        <v>40</v>
      </c>
      <c r="H77" s="15">
        <v>9.9</v>
      </c>
      <c r="I77" s="15">
        <v>5</v>
      </c>
      <c r="J77" s="15"/>
      <c r="K77" s="79" t="s">
        <v>291</v>
      </c>
    </row>
    <row r="78" spans="2:11" x14ac:dyDescent="0.3">
      <c r="B78" s="14" t="s">
        <v>25</v>
      </c>
      <c r="C78" s="15" t="s">
        <v>146</v>
      </c>
      <c r="D78" s="15"/>
      <c r="E78" s="15" t="s">
        <v>292</v>
      </c>
      <c r="F78" s="21">
        <v>1163</v>
      </c>
      <c r="G78" s="15">
        <v>40</v>
      </c>
      <c r="H78" s="15">
        <v>9.5</v>
      </c>
      <c r="I78" s="15">
        <v>5</v>
      </c>
      <c r="J78" s="15" t="s">
        <v>160</v>
      </c>
      <c r="K78" s="79" t="s">
        <v>293</v>
      </c>
    </row>
    <row r="79" spans="2:11" x14ac:dyDescent="0.3">
      <c r="B79" s="14" t="s">
        <v>22</v>
      </c>
      <c r="C79" s="15" t="s">
        <v>146</v>
      </c>
      <c r="D79" s="15"/>
      <c r="E79" s="15" t="s">
        <v>294</v>
      </c>
      <c r="F79" s="21">
        <v>939.1</v>
      </c>
      <c r="G79" s="15">
        <v>40</v>
      </c>
      <c r="H79" s="15">
        <v>8.4</v>
      </c>
      <c r="I79" s="15">
        <v>5</v>
      </c>
      <c r="J79" s="15" t="s">
        <v>160</v>
      </c>
      <c r="K79" s="79" t="s">
        <v>295</v>
      </c>
    </row>
    <row r="80" spans="2:11" x14ac:dyDescent="0.3">
      <c r="B80" s="14" t="s">
        <v>22</v>
      </c>
      <c r="C80" s="15" t="s">
        <v>146</v>
      </c>
      <c r="D80" s="15"/>
      <c r="E80" s="15" t="s">
        <v>296</v>
      </c>
      <c r="F80" s="21">
        <v>1190</v>
      </c>
      <c r="G80" s="15">
        <v>40</v>
      </c>
      <c r="H80" s="15">
        <v>10.8</v>
      </c>
      <c r="I80" s="15">
        <v>5</v>
      </c>
      <c r="J80" s="15"/>
      <c r="K80" s="79" t="s">
        <v>297</v>
      </c>
    </row>
    <row r="81" spans="2:17" x14ac:dyDescent="0.3">
      <c r="B81" s="14" t="s">
        <v>222</v>
      </c>
      <c r="C81" s="15" t="s">
        <v>146</v>
      </c>
      <c r="D81" s="15"/>
      <c r="E81" s="15" t="s">
        <v>298</v>
      </c>
      <c r="F81" s="21">
        <v>1199</v>
      </c>
      <c r="G81" s="15">
        <v>30</v>
      </c>
      <c r="H81" s="15">
        <v>9.9</v>
      </c>
      <c r="I81" s="15">
        <v>5</v>
      </c>
      <c r="J81" s="15"/>
      <c r="K81" s="79" t="s">
        <v>299</v>
      </c>
    </row>
    <row r="82" spans="2:17" x14ac:dyDescent="0.3">
      <c r="B82" s="14" t="s">
        <v>247</v>
      </c>
      <c r="C82" s="15" t="s">
        <v>146</v>
      </c>
      <c r="D82" s="15"/>
      <c r="E82" s="15" t="s">
        <v>300</v>
      </c>
      <c r="F82" s="21">
        <v>1599</v>
      </c>
      <c r="G82" s="15">
        <v>50</v>
      </c>
      <c r="H82" s="15">
        <v>13.88</v>
      </c>
      <c r="I82" s="15">
        <v>5</v>
      </c>
      <c r="J82" s="15" t="s">
        <v>160</v>
      </c>
      <c r="K82" s="79" t="s">
        <v>301</v>
      </c>
    </row>
    <row r="83" spans="2:17" x14ac:dyDescent="0.3">
      <c r="B83" s="14" t="s">
        <v>22</v>
      </c>
      <c r="C83" s="15" t="s">
        <v>146</v>
      </c>
      <c r="D83" s="15"/>
      <c r="E83" s="15" t="s">
        <v>302</v>
      </c>
      <c r="F83" s="21">
        <v>849.1</v>
      </c>
      <c r="G83" s="15">
        <v>30</v>
      </c>
      <c r="H83" s="15">
        <v>8.5</v>
      </c>
      <c r="I83" s="15">
        <v>5</v>
      </c>
      <c r="J83" s="15"/>
      <c r="K83" s="79" t="s">
        <v>303</v>
      </c>
    </row>
    <row r="84" spans="2:17" x14ac:dyDescent="0.3">
      <c r="B84" s="14" t="s">
        <v>202</v>
      </c>
      <c r="C84" s="15" t="s">
        <v>146</v>
      </c>
      <c r="D84" s="15"/>
      <c r="E84" s="15" t="s">
        <v>304</v>
      </c>
      <c r="F84" s="21">
        <v>1433</v>
      </c>
      <c r="G84" s="15">
        <v>50</v>
      </c>
      <c r="H84" s="15">
        <v>10.8</v>
      </c>
      <c r="I84" s="15">
        <v>5</v>
      </c>
      <c r="J84" s="15" t="s">
        <v>160</v>
      </c>
      <c r="K84" s="79" t="s">
        <v>305</v>
      </c>
    </row>
    <row r="85" spans="2:17" ht="15" thickBot="1" x14ac:dyDescent="0.35">
      <c r="B85" s="17" t="s">
        <v>29</v>
      </c>
      <c r="C85" s="18" t="s">
        <v>146</v>
      </c>
      <c r="D85" s="18"/>
      <c r="E85" s="18" t="s">
        <v>306</v>
      </c>
      <c r="F85" s="22">
        <v>1119.0999999999999</v>
      </c>
      <c r="G85" s="18">
        <v>50</v>
      </c>
      <c r="H85" s="18">
        <v>10.3</v>
      </c>
      <c r="I85" s="18">
        <v>5</v>
      </c>
      <c r="J85" s="18" t="s">
        <v>160</v>
      </c>
      <c r="K85" s="80" t="s">
        <v>307</v>
      </c>
    </row>
    <row r="86" spans="2:17" ht="15" thickBot="1" x14ac:dyDescent="0.35"/>
    <row r="87" spans="2:17" ht="15" thickBot="1" x14ac:dyDescent="0.35">
      <c r="B87" s="90" t="s">
        <v>4</v>
      </c>
      <c r="C87" s="91"/>
    </row>
    <row r="88" spans="2:17" x14ac:dyDescent="0.3">
      <c r="B88" s="31" t="s">
        <v>14</v>
      </c>
      <c r="C88" s="32" t="s">
        <v>139</v>
      </c>
      <c r="D88" s="32" t="s">
        <v>140</v>
      </c>
      <c r="E88" s="33" t="s">
        <v>15</v>
      </c>
      <c r="F88" s="32" t="s">
        <v>6</v>
      </c>
      <c r="G88" s="34" t="s">
        <v>1</v>
      </c>
      <c r="H88" s="32" t="s">
        <v>308</v>
      </c>
      <c r="I88" s="32" t="s">
        <v>93</v>
      </c>
      <c r="J88" s="32" t="s">
        <v>150</v>
      </c>
      <c r="K88" s="32" t="s">
        <v>94</v>
      </c>
      <c r="L88" s="32" t="s">
        <v>151</v>
      </c>
      <c r="M88" s="32" t="s">
        <v>141</v>
      </c>
      <c r="N88" s="32" t="s">
        <v>142</v>
      </c>
      <c r="O88" s="32" t="s">
        <v>143</v>
      </c>
      <c r="P88" s="32" t="s">
        <v>144</v>
      </c>
      <c r="Q88" s="20" t="s">
        <v>21</v>
      </c>
    </row>
    <row r="89" spans="2:17" x14ac:dyDescent="0.3">
      <c r="B89" s="39" t="s">
        <v>24</v>
      </c>
      <c r="C89" s="40" t="s">
        <v>309</v>
      </c>
      <c r="D89" s="40" t="str">
        <f t="shared" ref="D89:D120" si="0">IF($B89=$C89,"Mfg Site","Retailer Site")</f>
        <v>Retailer Site</v>
      </c>
      <c r="E89" s="41" t="s">
        <v>310</v>
      </c>
      <c r="F89" s="40" t="s">
        <v>311</v>
      </c>
      <c r="G89" s="42">
        <v>949</v>
      </c>
      <c r="H89" s="40"/>
      <c r="I89" s="40">
        <v>35.1</v>
      </c>
      <c r="J89" s="40">
        <f t="shared" ref="J89:J120" si="1">ROUND($I89/5,0)*5</f>
        <v>35</v>
      </c>
      <c r="K89" s="43" t="s">
        <v>312</v>
      </c>
      <c r="L89" s="40" t="e">
        <f t="shared" ref="L89:L120" si="2">ROUND($K89,0)</f>
        <v>#VALUE!</v>
      </c>
      <c r="M89" s="44">
        <f>30.75*21.5*4.375</f>
        <v>2892.421875</v>
      </c>
      <c r="N89" s="44">
        <f t="shared" ref="N89:N120" si="3">ROUND($M89/25,0)*25</f>
        <v>2900</v>
      </c>
      <c r="O89" s="40">
        <v>4</v>
      </c>
      <c r="P89" s="40"/>
      <c r="Q89" s="79" t="s">
        <v>313</v>
      </c>
    </row>
    <row r="90" spans="2:17" x14ac:dyDescent="0.3">
      <c r="B90" s="39" t="s">
        <v>45</v>
      </c>
      <c r="C90" s="40" t="s">
        <v>314</v>
      </c>
      <c r="D90" s="40" t="str">
        <f t="shared" si="0"/>
        <v>Retailer Site</v>
      </c>
      <c r="E90" s="41" t="s">
        <v>315</v>
      </c>
      <c r="F90" s="40"/>
      <c r="G90" s="42">
        <v>1884.1</v>
      </c>
      <c r="H90" s="40"/>
      <c r="I90" s="40">
        <v>40</v>
      </c>
      <c r="J90" s="40">
        <f t="shared" si="1"/>
        <v>40</v>
      </c>
      <c r="K90" s="40">
        <v>14.8</v>
      </c>
      <c r="L90" s="40">
        <f t="shared" si="2"/>
        <v>15</v>
      </c>
      <c r="M90" s="45">
        <f>36.81*21.31*3.13</f>
        <v>2455.2380429999998</v>
      </c>
      <c r="N90" s="44">
        <f t="shared" si="3"/>
        <v>2450</v>
      </c>
      <c r="O90" s="40">
        <v>5</v>
      </c>
      <c r="P90" s="40"/>
      <c r="Q90" s="79" t="s">
        <v>316</v>
      </c>
    </row>
    <row r="91" spans="2:17" x14ac:dyDescent="0.3">
      <c r="B91" s="39" t="s">
        <v>40</v>
      </c>
      <c r="C91" s="40" t="s">
        <v>314</v>
      </c>
      <c r="D91" s="40" t="str">
        <f t="shared" si="0"/>
        <v>Retailer Site</v>
      </c>
      <c r="E91" s="41" t="s">
        <v>317</v>
      </c>
      <c r="F91" s="40"/>
      <c r="G91" s="42">
        <v>1994.9</v>
      </c>
      <c r="H91" s="40"/>
      <c r="I91" s="40">
        <v>50</v>
      </c>
      <c r="J91" s="40">
        <f t="shared" si="1"/>
        <v>50</v>
      </c>
      <c r="K91" s="40">
        <v>11.8</v>
      </c>
      <c r="L91" s="40">
        <f t="shared" si="2"/>
        <v>12</v>
      </c>
      <c r="M91" s="45">
        <f>36.81*21.31*3.13</f>
        <v>2455.2380429999998</v>
      </c>
      <c r="N91" s="44">
        <f t="shared" si="3"/>
        <v>2450</v>
      </c>
      <c r="O91" s="40">
        <v>5</v>
      </c>
      <c r="P91" s="40"/>
      <c r="Q91" s="82" t="s">
        <v>318</v>
      </c>
    </row>
    <row r="92" spans="2:17" x14ac:dyDescent="0.3">
      <c r="B92" s="39" t="s">
        <v>125</v>
      </c>
      <c r="C92" s="40" t="s">
        <v>314</v>
      </c>
      <c r="D92" s="40" t="str">
        <f t="shared" si="0"/>
        <v>Retailer Site</v>
      </c>
      <c r="E92" s="41" t="s">
        <v>319</v>
      </c>
      <c r="F92" s="40"/>
      <c r="G92" s="42">
        <v>1973.1</v>
      </c>
      <c r="H92" s="40"/>
      <c r="I92" s="40">
        <v>50</v>
      </c>
      <c r="J92" s="40">
        <f t="shared" si="1"/>
        <v>50</v>
      </c>
      <c r="K92" s="40">
        <v>13.8</v>
      </c>
      <c r="L92" s="40">
        <f t="shared" si="2"/>
        <v>14</v>
      </c>
      <c r="M92" s="44">
        <f>36.75*21.5*4.375</f>
        <v>3456.796875</v>
      </c>
      <c r="N92" s="44">
        <f t="shared" si="3"/>
        <v>3450</v>
      </c>
      <c r="O92" s="40">
        <v>5</v>
      </c>
      <c r="P92" s="40"/>
      <c r="Q92" s="81" t="s">
        <v>320</v>
      </c>
    </row>
    <row r="93" spans="2:17" x14ac:dyDescent="0.3">
      <c r="B93" s="39" t="s">
        <v>29</v>
      </c>
      <c r="C93" s="40" t="s">
        <v>314</v>
      </c>
      <c r="D93" s="40" t="str">
        <f t="shared" si="0"/>
        <v>Retailer Site</v>
      </c>
      <c r="E93" s="41" t="s">
        <v>321</v>
      </c>
      <c r="F93" s="40"/>
      <c r="G93" s="42">
        <v>1749.1</v>
      </c>
      <c r="H93" s="40"/>
      <c r="I93" s="40">
        <v>30</v>
      </c>
      <c r="J93" s="40">
        <f t="shared" si="1"/>
        <v>30</v>
      </c>
      <c r="K93" s="40">
        <v>11.8</v>
      </c>
      <c r="L93" s="40">
        <f t="shared" si="2"/>
        <v>12</v>
      </c>
      <c r="M93" s="44">
        <f>31*21.25*4.45</f>
        <v>2931.4375</v>
      </c>
      <c r="N93" s="44">
        <f t="shared" si="3"/>
        <v>2925</v>
      </c>
      <c r="O93" s="40">
        <v>5</v>
      </c>
      <c r="P93" s="40"/>
      <c r="Q93" s="84" t="s">
        <v>322</v>
      </c>
    </row>
    <row r="94" spans="2:17" x14ac:dyDescent="0.3">
      <c r="B94" s="39" t="s">
        <v>29</v>
      </c>
      <c r="C94" s="40" t="s">
        <v>314</v>
      </c>
      <c r="D94" s="40" t="str">
        <f t="shared" si="0"/>
        <v>Retailer Site</v>
      </c>
      <c r="E94" s="41" t="s">
        <v>323</v>
      </c>
      <c r="F94" s="40"/>
      <c r="G94" s="42">
        <v>1734.8</v>
      </c>
      <c r="H94" s="40"/>
      <c r="I94" s="40">
        <v>40</v>
      </c>
      <c r="J94" s="40">
        <f t="shared" si="1"/>
        <v>40</v>
      </c>
      <c r="K94" s="40">
        <v>9.4</v>
      </c>
      <c r="L94" s="40">
        <f t="shared" si="2"/>
        <v>9</v>
      </c>
      <c r="M94" s="44">
        <f>37*21.25*4.45</f>
        <v>3498.8125</v>
      </c>
      <c r="N94" s="44">
        <f t="shared" si="3"/>
        <v>3500</v>
      </c>
      <c r="O94" s="40">
        <v>5</v>
      </c>
      <c r="P94" s="40"/>
      <c r="Q94" s="84" t="s">
        <v>324</v>
      </c>
    </row>
    <row r="95" spans="2:17" x14ac:dyDescent="0.3">
      <c r="B95" s="39" t="s">
        <v>24</v>
      </c>
      <c r="C95" s="40" t="s">
        <v>314</v>
      </c>
      <c r="D95" s="40" t="str">
        <f t="shared" si="0"/>
        <v>Retailer Site</v>
      </c>
      <c r="E95" s="41" t="s">
        <v>325</v>
      </c>
      <c r="F95" s="40"/>
      <c r="G95" s="42">
        <v>1953</v>
      </c>
      <c r="H95" s="40"/>
      <c r="I95" s="40">
        <v>40</v>
      </c>
      <c r="J95" s="40">
        <f t="shared" si="1"/>
        <v>40</v>
      </c>
      <c r="K95" s="40">
        <v>11</v>
      </c>
      <c r="L95" s="40">
        <f t="shared" si="2"/>
        <v>11</v>
      </c>
      <c r="M95" s="44">
        <f>36*20.125*2.875</f>
        <v>2082.9375</v>
      </c>
      <c r="N95" s="44">
        <f t="shared" si="3"/>
        <v>2075</v>
      </c>
      <c r="O95" s="40">
        <v>5</v>
      </c>
      <c r="P95" s="40"/>
      <c r="Q95" s="82" t="s">
        <v>326</v>
      </c>
    </row>
    <row r="96" spans="2:17" x14ac:dyDescent="0.3">
      <c r="B96" s="39" t="s">
        <v>24</v>
      </c>
      <c r="C96" s="40" t="s">
        <v>314</v>
      </c>
      <c r="D96" s="40" t="str">
        <f t="shared" si="0"/>
        <v>Retailer Site</v>
      </c>
      <c r="E96" s="41" t="s">
        <v>327</v>
      </c>
      <c r="F96" s="40"/>
      <c r="G96" s="42">
        <v>1648.99</v>
      </c>
      <c r="H96" s="40"/>
      <c r="I96" s="40">
        <v>40</v>
      </c>
      <c r="J96" s="40">
        <f t="shared" si="1"/>
        <v>40</v>
      </c>
      <c r="K96" s="40">
        <v>11.6</v>
      </c>
      <c r="L96" s="40">
        <f t="shared" si="2"/>
        <v>12</v>
      </c>
      <c r="M96" s="44">
        <f>36.75*21.5*4.375</f>
        <v>3456.796875</v>
      </c>
      <c r="N96" s="44">
        <f t="shared" si="3"/>
        <v>3450</v>
      </c>
      <c r="O96" s="40">
        <v>5</v>
      </c>
      <c r="P96" s="40"/>
      <c r="Q96" s="83" t="s">
        <v>328</v>
      </c>
    </row>
    <row r="97" spans="2:17" x14ac:dyDescent="0.3">
      <c r="B97" s="39" t="s">
        <v>125</v>
      </c>
      <c r="C97" s="40" t="s">
        <v>314</v>
      </c>
      <c r="D97" s="40" t="str">
        <f t="shared" si="0"/>
        <v>Retailer Site</v>
      </c>
      <c r="E97" s="41" t="s">
        <v>329</v>
      </c>
      <c r="F97" s="40"/>
      <c r="G97" s="42">
        <v>2499</v>
      </c>
      <c r="H97" s="40"/>
      <c r="I97" s="40">
        <v>50</v>
      </c>
      <c r="J97" s="40">
        <f t="shared" si="1"/>
        <v>50</v>
      </c>
      <c r="K97" s="40">
        <v>13.8</v>
      </c>
      <c r="L97" s="40">
        <f t="shared" si="2"/>
        <v>14</v>
      </c>
      <c r="M97" s="44">
        <f>35.875*20.375*4.375</f>
        <v>3197.919921875</v>
      </c>
      <c r="N97" s="44">
        <f t="shared" si="3"/>
        <v>3200</v>
      </c>
      <c r="O97" s="40">
        <v>5</v>
      </c>
      <c r="P97" s="40"/>
      <c r="Q97" s="83" t="s">
        <v>330</v>
      </c>
    </row>
    <row r="98" spans="2:17" x14ac:dyDescent="0.3">
      <c r="B98" s="39" t="s">
        <v>24</v>
      </c>
      <c r="C98" s="40" t="s">
        <v>314</v>
      </c>
      <c r="D98" s="40" t="str">
        <f t="shared" si="0"/>
        <v>Retailer Site</v>
      </c>
      <c r="E98" s="41" t="s">
        <v>331</v>
      </c>
      <c r="F98" s="40"/>
      <c r="G98" s="42">
        <v>983.1</v>
      </c>
      <c r="H98" s="40"/>
      <c r="I98" s="40">
        <v>40</v>
      </c>
      <c r="J98" s="40">
        <f t="shared" si="1"/>
        <v>40</v>
      </c>
      <c r="K98" s="40">
        <v>15.6</v>
      </c>
      <c r="L98" s="40">
        <f t="shared" si="2"/>
        <v>16</v>
      </c>
      <c r="M98" s="44">
        <f>36.75*21.375*2.875</f>
        <v>2258.40234375</v>
      </c>
      <c r="N98" s="44">
        <f t="shared" si="3"/>
        <v>2250</v>
      </c>
      <c r="O98" s="40">
        <v>5</v>
      </c>
      <c r="P98" s="40"/>
      <c r="Q98" s="83" t="s">
        <v>332</v>
      </c>
    </row>
    <row r="99" spans="2:17" x14ac:dyDescent="0.3">
      <c r="B99" s="39" t="s">
        <v>29</v>
      </c>
      <c r="C99" s="40" t="s">
        <v>314</v>
      </c>
      <c r="D99" s="40" t="str">
        <f t="shared" si="0"/>
        <v>Retailer Site</v>
      </c>
      <c r="E99" s="41" t="s">
        <v>333</v>
      </c>
      <c r="F99" s="40"/>
      <c r="G99" s="42">
        <v>1467.77</v>
      </c>
      <c r="H99" s="40"/>
      <c r="I99" s="40">
        <v>30</v>
      </c>
      <c r="J99" s="40">
        <f t="shared" si="1"/>
        <v>30</v>
      </c>
      <c r="K99" s="40">
        <v>11.8</v>
      </c>
      <c r="L99" s="40">
        <f t="shared" si="2"/>
        <v>12</v>
      </c>
      <c r="M99" s="44">
        <f>31*21.25*4.25</f>
        <v>2799.6875</v>
      </c>
      <c r="N99" s="44">
        <f t="shared" si="3"/>
        <v>2800</v>
      </c>
      <c r="O99" s="40">
        <v>5</v>
      </c>
      <c r="P99" s="40"/>
      <c r="Q99" s="79" t="s">
        <v>334</v>
      </c>
    </row>
    <row r="100" spans="2:17" x14ac:dyDescent="0.3">
      <c r="B100" s="39" t="s">
        <v>40</v>
      </c>
      <c r="C100" s="40" t="s">
        <v>314</v>
      </c>
      <c r="D100" s="40" t="str">
        <f t="shared" si="0"/>
        <v>Retailer Site</v>
      </c>
      <c r="E100" s="41" t="s">
        <v>335</v>
      </c>
      <c r="F100" s="40"/>
      <c r="G100" s="42">
        <v>1895</v>
      </c>
      <c r="H100" s="40"/>
      <c r="I100" s="40">
        <v>50</v>
      </c>
      <c r="J100" s="40">
        <f t="shared" si="1"/>
        <v>50</v>
      </c>
      <c r="K100" s="40">
        <v>11.8</v>
      </c>
      <c r="L100" s="40">
        <f t="shared" si="2"/>
        <v>12</v>
      </c>
      <c r="M100" s="44">
        <f>36*21.25*4</f>
        <v>3060</v>
      </c>
      <c r="N100" s="44">
        <f t="shared" si="3"/>
        <v>3050</v>
      </c>
      <c r="O100" s="40">
        <v>5</v>
      </c>
      <c r="P100" s="40"/>
      <c r="Q100" s="79" t="s">
        <v>336</v>
      </c>
    </row>
    <row r="101" spans="2:17" x14ac:dyDescent="0.3">
      <c r="B101" s="39" t="s">
        <v>45</v>
      </c>
      <c r="C101" s="40" t="s">
        <v>314</v>
      </c>
      <c r="D101" s="40" t="str">
        <f t="shared" si="0"/>
        <v>Retailer Site</v>
      </c>
      <c r="E101" s="41" t="s">
        <v>337</v>
      </c>
      <c r="F101" s="40"/>
      <c r="G101" s="42">
        <v>1974.1</v>
      </c>
      <c r="H101" s="40"/>
      <c r="I101" s="40">
        <v>40</v>
      </c>
      <c r="J101" s="40">
        <f t="shared" si="1"/>
        <v>40</v>
      </c>
      <c r="K101" s="40">
        <v>10</v>
      </c>
      <c r="L101" s="40">
        <f t="shared" si="2"/>
        <v>10</v>
      </c>
      <c r="M101" s="44">
        <f>36.81*21.31*3.13</f>
        <v>2455.2380429999998</v>
      </c>
      <c r="N101" s="44">
        <f t="shared" si="3"/>
        <v>2450</v>
      </c>
      <c r="O101" s="40">
        <v>5</v>
      </c>
      <c r="P101" s="40"/>
      <c r="Q101" s="79" t="s">
        <v>338</v>
      </c>
    </row>
    <row r="102" spans="2:17" x14ac:dyDescent="0.3">
      <c r="B102" s="39" t="s">
        <v>149</v>
      </c>
      <c r="C102" s="40" t="s">
        <v>314</v>
      </c>
      <c r="D102" s="40" t="str">
        <f t="shared" si="0"/>
        <v>Retailer Site</v>
      </c>
      <c r="E102" s="41" t="s">
        <v>339</v>
      </c>
      <c r="F102" s="40"/>
      <c r="G102" s="42">
        <v>2204</v>
      </c>
      <c r="H102" s="40"/>
      <c r="I102" s="40">
        <v>48</v>
      </c>
      <c r="J102" s="40">
        <f t="shared" si="1"/>
        <v>50</v>
      </c>
      <c r="K102" s="40">
        <v>20.3</v>
      </c>
      <c r="L102" s="40">
        <f t="shared" si="2"/>
        <v>20</v>
      </c>
      <c r="M102" s="44">
        <f>34.63*20.47*2.44</f>
        <v>1729.657684</v>
      </c>
      <c r="N102" s="44">
        <f t="shared" si="3"/>
        <v>1725</v>
      </c>
      <c r="O102" s="40">
        <v>5</v>
      </c>
      <c r="P102" s="40"/>
      <c r="Q102" s="79" t="s">
        <v>340</v>
      </c>
    </row>
    <row r="103" spans="2:17" x14ac:dyDescent="0.3">
      <c r="B103" s="39" t="s">
        <v>24</v>
      </c>
      <c r="C103" s="40" t="s">
        <v>314</v>
      </c>
      <c r="D103" s="40" t="str">
        <f t="shared" si="0"/>
        <v>Retailer Site</v>
      </c>
      <c r="E103" s="41" t="s">
        <v>341</v>
      </c>
      <c r="F103" s="40"/>
      <c r="G103" s="42">
        <v>803.1</v>
      </c>
      <c r="H103" s="40"/>
      <c r="I103" s="40">
        <v>40</v>
      </c>
      <c r="J103" s="40">
        <f t="shared" si="1"/>
        <v>40</v>
      </c>
      <c r="K103" s="40">
        <v>14.2</v>
      </c>
      <c r="L103" s="40">
        <f t="shared" si="2"/>
        <v>14</v>
      </c>
      <c r="M103" s="44">
        <f>36.75*23.375*2.875</f>
        <v>2469.71484375</v>
      </c>
      <c r="N103" s="44">
        <f t="shared" si="3"/>
        <v>2475</v>
      </c>
      <c r="O103" s="40">
        <v>5</v>
      </c>
      <c r="P103" s="40"/>
      <c r="Q103" s="79" t="s">
        <v>342</v>
      </c>
    </row>
    <row r="104" spans="2:17" x14ac:dyDescent="0.3">
      <c r="B104" s="39" t="s">
        <v>244</v>
      </c>
      <c r="C104" s="40" t="s">
        <v>314</v>
      </c>
      <c r="D104" s="40" t="str">
        <f t="shared" si="0"/>
        <v>Retailer Site</v>
      </c>
      <c r="E104" s="41" t="s">
        <v>343</v>
      </c>
      <c r="F104" s="40"/>
      <c r="G104" s="42">
        <v>2399</v>
      </c>
      <c r="H104" s="40"/>
      <c r="I104" s="40">
        <v>48</v>
      </c>
      <c r="J104" s="40">
        <f t="shared" si="1"/>
        <v>50</v>
      </c>
      <c r="K104" s="40">
        <v>13.7</v>
      </c>
      <c r="L104" s="40">
        <f t="shared" si="2"/>
        <v>14</v>
      </c>
      <c r="M104" s="44">
        <f>35.44*20.88*4.69</f>
        <v>3470.539968</v>
      </c>
      <c r="N104" s="44">
        <f t="shared" si="3"/>
        <v>3475</v>
      </c>
      <c r="O104" s="40">
        <v>5</v>
      </c>
      <c r="P104" s="40"/>
      <c r="Q104" s="79" t="s">
        <v>344</v>
      </c>
    </row>
    <row r="105" spans="2:17" x14ac:dyDescent="0.3">
      <c r="B105" s="39" t="s">
        <v>25</v>
      </c>
      <c r="C105" s="40" t="s">
        <v>314</v>
      </c>
      <c r="D105" s="40" t="str">
        <f t="shared" si="0"/>
        <v>Retailer Site</v>
      </c>
      <c r="E105" s="41" t="s">
        <v>345</v>
      </c>
      <c r="F105" s="40"/>
      <c r="G105" s="42">
        <v>2433</v>
      </c>
      <c r="H105" s="40"/>
      <c r="I105" s="40">
        <v>50</v>
      </c>
      <c r="J105" s="40">
        <f t="shared" si="1"/>
        <v>50</v>
      </c>
      <c r="K105" s="40">
        <v>11.1</v>
      </c>
      <c r="L105" s="40">
        <f t="shared" si="2"/>
        <v>11</v>
      </c>
      <c r="M105" s="44">
        <f>36*21.5*3.25</f>
        <v>2515.5</v>
      </c>
      <c r="N105" s="44">
        <f t="shared" si="3"/>
        <v>2525</v>
      </c>
      <c r="O105" s="40">
        <v>5</v>
      </c>
      <c r="P105" s="40"/>
      <c r="Q105" s="46" t="s">
        <v>346</v>
      </c>
    </row>
    <row r="106" spans="2:17" x14ac:dyDescent="0.3">
      <c r="B106" s="39" t="s">
        <v>347</v>
      </c>
      <c r="C106" s="40" t="s">
        <v>314</v>
      </c>
      <c r="D106" s="40" t="str">
        <f t="shared" si="0"/>
        <v>Retailer Site</v>
      </c>
      <c r="E106" s="41" t="s">
        <v>348</v>
      </c>
      <c r="F106" s="40"/>
      <c r="G106" s="42">
        <v>2419</v>
      </c>
      <c r="H106" s="40"/>
      <c r="I106" s="40">
        <v>30</v>
      </c>
      <c r="J106" s="40">
        <f t="shared" si="1"/>
        <v>30</v>
      </c>
      <c r="K106" s="40">
        <v>10</v>
      </c>
      <c r="L106" s="40">
        <f t="shared" si="2"/>
        <v>10</v>
      </c>
      <c r="M106" s="44">
        <f>30*21*3</f>
        <v>1890</v>
      </c>
      <c r="N106" s="44">
        <f t="shared" si="3"/>
        <v>1900</v>
      </c>
      <c r="O106" s="40">
        <v>4</v>
      </c>
      <c r="P106" s="40"/>
      <c r="Q106" s="79" t="s">
        <v>349</v>
      </c>
    </row>
    <row r="107" spans="2:17" x14ac:dyDescent="0.3">
      <c r="B107" s="39" t="s">
        <v>125</v>
      </c>
      <c r="C107" s="40" t="s">
        <v>314</v>
      </c>
      <c r="D107" s="40" t="str">
        <f t="shared" si="0"/>
        <v>Retailer Site</v>
      </c>
      <c r="E107" s="41" t="s">
        <v>350</v>
      </c>
      <c r="F107" s="40"/>
      <c r="G107" s="42">
        <v>2073.9899999999998</v>
      </c>
      <c r="H107" s="40"/>
      <c r="I107" s="40">
        <v>40</v>
      </c>
      <c r="J107" s="40">
        <f t="shared" si="1"/>
        <v>40</v>
      </c>
      <c r="K107" s="40">
        <v>9.6999999999999993</v>
      </c>
      <c r="L107" s="40">
        <f t="shared" si="2"/>
        <v>10</v>
      </c>
      <c r="M107" s="44">
        <f>30.75*21.5*4.375</f>
        <v>2892.421875</v>
      </c>
      <c r="N107" s="44">
        <f t="shared" si="3"/>
        <v>2900</v>
      </c>
      <c r="O107" s="40">
        <v>4</v>
      </c>
      <c r="P107" s="40"/>
      <c r="Q107" s="46" t="s">
        <v>351</v>
      </c>
    </row>
    <row r="108" spans="2:17" x14ac:dyDescent="0.3">
      <c r="B108" s="39" t="s">
        <v>40</v>
      </c>
      <c r="C108" s="40" t="s">
        <v>314</v>
      </c>
      <c r="D108" s="40" t="str">
        <f t="shared" si="0"/>
        <v>Retailer Site</v>
      </c>
      <c r="E108" s="41" t="s">
        <v>352</v>
      </c>
      <c r="F108" s="40"/>
      <c r="G108" s="42">
        <v>1744.7</v>
      </c>
      <c r="H108" s="40"/>
      <c r="I108" s="40">
        <v>50</v>
      </c>
      <c r="J108" s="40">
        <f t="shared" si="1"/>
        <v>50</v>
      </c>
      <c r="K108" s="40">
        <v>11.8</v>
      </c>
      <c r="L108" s="40">
        <f t="shared" si="2"/>
        <v>12</v>
      </c>
      <c r="M108" s="44">
        <f>30*21.25*4</f>
        <v>2550</v>
      </c>
      <c r="N108" s="44">
        <f t="shared" si="3"/>
        <v>2550</v>
      </c>
      <c r="O108" s="40">
        <v>4</v>
      </c>
      <c r="P108" s="40"/>
      <c r="Q108" s="79" t="s">
        <v>353</v>
      </c>
    </row>
    <row r="109" spans="2:17" x14ac:dyDescent="0.3">
      <c r="B109" s="39" t="s">
        <v>25</v>
      </c>
      <c r="C109" s="40" t="s">
        <v>314</v>
      </c>
      <c r="D109" s="40" t="str">
        <f t="shared" si="0"/>
        <v>Retailer Site</v>
      </c>
      <c r="E109" s="41" t="s">
        <v>354</v>
      </c>
      <c r="F109" s="40"/>
      <c r="G109" s="42">
        <v>2176</v>
      </c>
      <c r="H109" s="40"/>
      <c r="I109" s="40">
        <v>40</v>
      </c>
      <c r="J109" s="40">
        <f t="shared" si="1"/>
        <v>40</v>
      </c>
      <c r="K109" s="40">
        <v>10.5</v>
      </c>
      <c r="L109" s="40">
        <f t="shared" si="2"/>
        <v>11</v>
      </c>
      <c r="M109" s="44">
        <f>30*21.5*3.25</f>
        <v>2096.25</v>
      </c>
      <c r="N109" s="44">
        <f t="shared" si="3"/>
        <v>2100</v>
      </c>
      <c r="O109" s="40">
        <v>4</v>
      </c>
      <c r="P109" s="40"/>
      <c r="Q109" s="46" t="s">
        <v>355</v>
      </c>
    </row>
    <row r="110" spans="2:17" x14ac:dyDescent="0.3">
      <c r="B110" s="39" t="s">
        <v>24</v>
      </c>
      <c r="C110" s="40" t="s">
        <v>314</v>
      </c>
      <c r="D110" s="40" t="str">
        <f t="shared" si="0"/>
        <v>Retailer Site</v>
      </c>
      <c r="E110" s="41" t="s">
        <v>356</v>
      </c>
      <c r="F110" s="40"/>
      <c r="G110" s="42">
        <v>890.99</v>
      </c>
      <c r="H110" s="40"/>
      <c r="I110" s="40">
        <v>40</v>
      </c>
      <c r="J110" s="40">
        <f t="shared" si="1"/>
        <v>40</v>
      </c>
      <c r="K110" s="40">
        <v>10.4</v>
      </c>
      <c r="L110" s="40">
        <f t="shared" si="2"/>
        <v>10</v>
      </c>
      <c r="M110" s="44">
        <f>30.625*21.375*2.875</f>
        <v>1882.001953125</v>
      </c>
      <c r="N110" s="44">
        <f t="shared" si="3"/>
        <v>1875</v>
      </c>
      <c r="O110" s="40">
        <v>4</v>
      </c>
      <c r="P110" s="40"/>
      <c r="Q110" s="79" t="s">
        <v>357</v>
      </c>
    </row>
    <row r="111" spans="2:17" x14ac:dyDescent="0.3">
      <c r="B111" s="39" t="s">
        <v>45</v>
      </c>
      <c r="C111" s="40" t="s">
        <v>314</v>
      </c>
      <c r="D111" s="40" t="str">
        <f t="shared" si="0"/>
        <v>Retailer Site</v>
      </c>
      <c r="E111" s="41" t="s">
        <v>358</v>
      </c>
      <c r="F111" s="40"/>
      <c r="G111" s="42">
        <v>1794.1</v>
      </c>
      <c r="H111" s="40"/>
      <c r="I111" s="40">
        <v>40</v>
      </c>
      <c r="J111" s="40">
        <f t="shared" si="1"/>
        <v>40</v>
      </c>
      <c r="K111" s="40">
        <v>7.3</v>
      </c>
      <c r="L111" s="40">
        <f t="shared" si="2"/>
        <v>7</v>
      </c>
      <c r="M111" s="44">
        <f>30.75*21.21*3.13</f>
        <v>2041.4094749999999</v>
      </c>
      <c r="N111" s="44">
        <f t="shared" si="3"/>
        <v>2050</v>
      </c>
      <c r="O111" s="40">
        <v>4</v>
      </c>
      <c r="P111" s="40"/>
      <c r="Q111" s="46" t="s">
        <v>359</v>
      </c>
    </row>
    <row r="112" spans="2:17" x14ac:dyDescent="0.3">
      <c r="B112" s="39" t="s">
        <v>25</v>
      </c>
      <c r="C112" s="40" t="s">
        <v>314</v>
      </c>
      <c r="D112" s="40" t="str">
        <f t="shared" si="0"/>
        <v>Retailer Site</v>
      </c>
      <c r="E112" s="41" t="s">
        <v>360</v>
      </c>
      <c r="F112" s="40"/>
      <c r="G112" s="42">
        <v>2047</v>
      </c>
      <c r="H112" s="40"/>
      <c r="I112" s="40">
        <v>40</v>
      </c>
      <c r="J112" s="40">
        <f t="shared" si="1"/>
        <v>40</v>
      </c>
      <c r="K112" s="40">
        <v>10.5</v>
      </c>
      <c r="L112" s="40">
        <f t="shared" si="2"/>
        <v>11</v>
      </c>
      <c r="M112" s="44">
        <f>29.75*21.375*4.625</f>
        <v>2941.06640625</v>
      </c>
      <c r="N112" s="44">
        <f t="shared" si="3"/>
        <v>2950</v>
      </c>
      <c r="O112" s="40">
        <v>4</v>
      </c>
      <c r="P112" s="40"/>
      <c r="Q112" s="46" t="s">
        <v>361</v>
      </c>
    </row>
    <row r="113" spans="2:17" x14ac:dyDescent="0.3">
      <c r="B113" s="39" t="s">
        <v>149</v>
      </c>
      <c r="C113" s="40" t="s">
        <v>314</v>
      </c>
      <c r="D113" s="40" t="str">
        <f t="shared" si="0"/>
        <v>Retailer Site</v>
      </c>
      <c r="E113" s="41" t="s">
        <v>362</v>
      </c>
      <c r="F113" s="40"/>
      <c r="G113" s="42">
        <v>1653</v>
      </c>
      <c r="H113" s="40"/>
      <c r="I113" s="40">
        <v>32</v>
      </c>
      <c r="J113" s="40">
        <f t="shared" si="1"/>
        <v>30</v>
      </c>
      <c r="K113" s="40">
        <v>14.8</v>
      </c>
      <c r="L113" s="40">
        <f t="shared" si="2"/>
        <v>15</v>
      </c>
      <c r="M113" s="44">
        <f>30.69*20.47*2.44</f>
        <v>1532.8672919999999</v>
      </c>
      <c r="N113" s="44">
        <f t="shared" si="3"/>
        <v>1525</v>
      </c>
      <c r="O113" s="40">
        <v>4</v>
      </c>
      <c r="P113" s="40"/>
      <c r="Q113" s="79" t="s">
        <v>363</v>
      </c>
    </row>
    <row r="114" spans="2:17" x14ac:dyDescent="0.3">
      <c r="B114" s="39" t="s">
        <v>24</v>
      </c>
      <c r="C114" s="40" t="s">
        <v>314</v>
      </c>
      <c r="D114" s="40" t="str">
        <f t="shared" si="0"/>
        <v>Retailer Site</v>
      </c>
      <c r="E114" s="41" t="s">
        <v>364</v>
      </c>
      <c r="F114" s="40"/>
      <c r="G114" s="42">
        <v>1793</v>
      </c>
      <c r="H114" s="40"/>
      <c r="I114" s="40">
        <v>40</v>
      </c>
      <c r="J114" s="40">
        <f t="shared" si="1"/>
        <v>40</v>
      </c>
      <c r="K114" s="40">
        <v>11</v>
      </c>
      <c r="L114" s="40">
        <f t="shared" si="2"/>
        <v>11</v>
      </c>
      <c r="M114" s="44">
        <f>30*20.625*2.875</f>
        <v>1778.90625</v>
      </c>
      <c r="N114" s="44">
        <f t="shared" si="3"/>
        <v>1775</v>
      </c>
      <c r="O114" s="40">
        <v>4</v>
      </c>
      <c r="P114" s="40"/>
      <c r="Q114" s="46" t="s">
        <v>365</v>
      </c>
    </row>
    <row r="115" spans="2:17" x14ac:dyDescent="0.3">
      <c r="B115" s="39" t="s">
        <v>40</v>
      </c>
      <c r="C115" s="40" t="s">
        <v>314</v>
      </c>
      <c r="D115" s="40" t="str">
        <f t="shared" si="0"/>
        <v>Retailer Site</v>
      </c>
      <c r="E115" s="41" t="s">
        <v>366</v>
      </c>
      <c r="F115" s="40"/>
      <c r="G115" s="42">
        <v>1644.8</v>
      </c>
      <c r="H115" s="40"/>
      <c r="I115" s="40">
        <v>50</v>
      </c>
      <c r="J115" s="40">
        <f t="shared" si="1"/>
        <v>50</v>
      </c>
      <c r="K115" s="40">
        <v>11.8</v>
      </c>
      <c r="L115" s="40">
        <f t="shared" si="2"/>
        <v>12</v>
      </c>
      <c r="M115" s="44">
        <f>30*21.25*4</f>
        <v>2550</v>
      </c>
      <c r="N115" s="44">
        <f t="shared" si="3"/>
        <v>2550</v>
      </c>
      <c r="O115" s="40">
        <v>4</v>
      </c>
      <c r="P115" s="40"/>
      <c r="Q115" s="79" t="s">
        <v>367</v>
      </c>
    </row>
    <row r="116" spans="2:17" x14ac:dyDescent="0.3">
      <c r="B116" s="39" t="s">
        <v>22</v>
      </c>
      <c r="C116" s="40" t="s">
        <v>314</v>
      </c>
      <c r="D116" s="40" t="str">
        <f t="shared" si="0"/>
        <v>Retailer Site</v>
      </c>
      <c r="E116" s="41" t="s">
        <v>368</v>
      </c>
      <c r="F116" s="40"/>
      <c r="G116" s="42">
        <v>1344.1</v>
      </c>
      <c r="H116" s="40"/>
      <c r="I116" s="40">
        <v>40</v>
      </c>
      <c r="J116" s="40">
        <f t="shared" si="1"/>
        <v>40</v>
      </c>
      <c r="K116" s="40">
        <v>8.3000000000000007</v>
      </c>
      <c r="L116" s="40">
        <f t="shared" si="2"/>
        <v>8</v>
      </c>
      <c r="M116" s="44">
        <f>30*21.31*2.38</f>
        <v>1521.5339999999999</v>
      </c>
      <c r="N116" s="44">
        <f t="shared" si="3"/>
        <v>1525</v>
      </c>
      <c r="O116" s="40">
        <v>4</v>
      </c>
      <c r="P116" s="40"/>
      <c r="Q116" s="46" t="s">
        <v>369</v>
      </c>
    </row>
    <row r="117" spans="2:17" x14ac:dyDescent="0.3">
      <c r="B117" s="39" t="s">
        <v>45</v>
      </c>
      <c r="C117" s="40" t="s">
        <v>314</v>
      </c>
      <c r="D117" s="40" t="str">
        <f t="shared" si="0"/>
        <v>Retailer Site</v>
      </c>
      <c r="E117" s="41" t="s">
        <v>370</v>
      </c>
      <c r="F117" s="40"/>
      <c r="G117" s="42">
        <v>1704.1</v>
      </c>
      <c r="H117" s="40"/>
      <c r="I117" s="40">
        <v>40</v>
      </c>
      <c r="J117" s="40">
        <f t="shared" si="1"/>
        <v>40</v>
      </c>
      <c r="K117" s="40">
        <v>10.5</v>
      </c>
      <c r="L117" s="40">
        <f t="shared" si="2"/>
        <v>11</v>
      </c>
      <c r="M117" s="44">
        <f>30.75*21.31*3.13</f>
        <v>2051.0342249999999</v>
      </c>
      <c r="N117" s="44">
        <f t="shared" si="3"/>
        <v>2050</v>
      </c>
      <c r="O117" s="40">
        <v>4</v>
      </c>
      <c r="P117" s="40"/>
      <c r="Q117" s="46" t="s">
        <v>371</v>
      </c>
    </row>
    <row r="118" spans="2:17" x14ac:dyDescent="0.3">
      <c r="B118" s="39" t="s">
        <v>25</v>
      </c>
      <c r="C118" s="40" t="s">
        <v>309</v>
      </c>
      <c r="D118" s="40" t="str">
        <f t="shared" si="0"/>
        <v>Retailer Site</v>
      </c>
      <c r="E118" s="36" t="s">
        <v>372</v>
      </c>
      <c r="F118" s="40"/>
      <c r="G118" s="42">
        <v>2240</v>
      </c>
      <c r="H118" s="40" t="s">
        <v>373</v>
      </c>
      <c r="I118" s="40">
        <v>50</v>
      </c>
      <c r="J118" s="40">
        <f t="shared" si="1"/>
        <v>50</v>
      </c>
      <c r="K118" s="40">
        <v>11.1</v>
      </c>
      <c r="L118" s="40">
        <f t="shared" si="2"/>
        <v>11</v>
      </c>
      <c r="M118" s="44">
        <f>36.125*20.5*4.625</f>
        <v>3425.1015625</v>
      </c>
      <c r="N118" s="44">
        <f t="shared" si="3"/>
        <v>3425</v>
      </c>
      <c r="O118" s="40">
        <v>5</v>
      </c>
      <c r="P118" s="40" t="s">
        <v>374</v>
      </c>
      <c r="Q118" s="79" t="s">
        <v>375</v>
      </c>
    </row>
    <row r="119" spans="2:17" x14ac:dyDescent="0.3">
      <c r="B119" s="39" t="s">
        <v>29</v>
      </c>
      <c r="C119" s="40" t="s">
        <v>309</v>
      </c>
      <c r="D119" s="40" t="str">
        <f t="shared" si="0"/>
        <v>Retailer Site</v>
      </c>
      <c r="E119" s="15" t="s">
        <v>376</v>
      </c>
      <c r="F119" s="40"/>
      <c r="G119" s="42">
        <v>1946</v>
      </c>
      <c r="H119" s="40" t="s">
        <v>377</v>
      </c>
      <c r="I119" s="40">
        <v>30</v>
      </c>
      <c r="J119" s="40">
        <f t="shared" si="1"/>
        <v>30</v>
      </c>
      <c r="K119" s="40">
        <v>11.8</v>
      </c>
      <c r="L119" s="40">
        <f t="shared" si="2"/>
        <v>12</v>
      </c>
      <c r="M119" s="44">
        <f>31*21.25*4.375</f>
        <v>2882.03125</v>
      </c>
      <c r="N119" s="44">
        <f t="shared" si="3"/>
        <v>2875</v>
      </c>
      <c r="O119" s="40">
        <v>4</v>
      </c>
      <c r="P119" s="40" t="s">
        <v>211</v>
      </c>
      <c r="Q119" s="79" t="s">
        <v>378</v>
      </c>
    </row>
    <row r="120" spans="2:17" x14ac:dyDescent="0.3">
      <c r="B120" s="39" t="s">
        <v>29</v>
      </c>
      <c r="C120" s="40" t="s">
        <v>309</v>
      </c>
      <c r="D120" s="40" t="str">
        <f t="shared" si="0"/>
        <v>Retailer Site</v>
      </c>
      <c r="E120" s="15" t="s">
        <v>321</v>
      </c>
      <c r="F120" s="40"/>
      <c r="G120" s="42">
        <v>1754</v>
      </c>
      <c r="H120" s="40" t="s">
        <v>373</v>
      </c>
      <c r="I120" s="40">
        <v>30</v>
      </c>
      <c r="J120" s="40">
        <f t="shared" si="1"/>
        <v>30</v>
      </c>
      <c r="K120" s="40">
        <v>11.8</v>
      </c>
      <c r="L120" s="40">
        <f t="shared" si="2"/>
        <v>12</v>
      </c>
      <c r="M120" s="44">
        <f>31*21.25*4.375</f>
        <v>2882.03125</v>
      </c>
      <c r="N120" s="44">
        <f t="shared" si="3"/>
        <v>2875</v>
      </c>
      <c r="O120" s="40">
        <v>4</v>
      </c>
      <c r="P120" s="40" t="s">
        <v>211</v>
      </c>
      <c r="Q120" s="16" t="s">
        <v>379</v>
      </c>
    </row>
    <row r="121" spans="2:17" x14ac:dyDescent="0.3">
      <c r="B121" s="39" t="s">
        <v>25</v>
      </c>
      <c r="C121" s="40" t="s">
        <v>309</v>
      </c>
      <c r="D121" s="40" t="str">
        <f t="shared" ref="D121:D152" si="4">IF($B121=$C121,"Mfg Site","Retailer Site")</f>
        <v>Retailer Site</v>
      </c>
      <c r="E121" s="15" t="s">
        <v>345</v>
      </c>
      <c r="F121" s="40"/>
      <c r="G121" s="42">
        <v>1927</v>
      </c>
      <c r="H121" s="40" t="s">
        <v>373</v>
      </c>
      <c r="I121" s="40">
        <v>50</v>
      </c>
      <c r="J121" s="40">
        <f t="shared" ref="J121:J152" si="5">ROUND($I121/5,0)*5</f>
        <v>50</v>
      </c>
      <c r="K121" s="40">
        <v>11.1</v>
      </c>
      <c r="L121" s="40">
        <f t="shared" ref="L121:L152" si="6">ROUND($K121,0)</f>
        <v>11</v>
      </c>
      <c r="M121" s="44">
        <f>36*20.375*4.625</f>
        <v>3392.4375</v>
      </c>
      <c r="N121" s="44">
        <f t="shared" ref="N121:N152" si="7">ROUND($M121/25,0)*25</f>
        <v>3400</v>
      </c>
      <c r="O121" s="40">
        <v>5</v>
      </c>
      <c r="P121" s="40" t="s">
        <v>380</v>
      </c>
      <c r="Q121" s="79" t="s">
        <v>381</v>
      </c>
    </row>
    <row r="122" spans="2:17" x14ac:dyDescent="0.3">
      <c r="B122" s="39" t="s">
        <v>25</v>
      </c>
      <c r="C122" s="40" t="s">
        <v>309</v>
      </c>
      <c r="D122" s="40" t="str">
        <f t="shared" si="4"/>
        <v>Retailer Site</v>
      </c>
      <c r="E122" s="15" t="s">
        <v>382</v>
      </c>
      <c r="F122" s="40"/>
      <c r="G122" s="42">
        <v>1808.57</v>
      </c>
      <c r="H122" s="40" t="s">
        <v>373</v>
      </c>
      <c r="I122" s="40">
        <v>40</v>
      </c>
      <c r="J122" s="40">
        <f t="shared" si="5"/>
        <v>40</v>
      </c>
      <c r="K122" s="40">
        <v>7.4</v>
      </c>
      <c r="L122" s="40">
        <f t="shared" si="6"/>
        <v>7</v>
      </c>
      <c r="M122" s="44">
        <f>29.875*21.5*4.625</f>
        <v>2970.6953125</v>
      </c>
      <c r="N122" s="44">
        <f t="shared" si="7"/>
        <v>2975</v>
      </c>
      <c r="O122" s="40">
        <v>4</v>
      </c>
      <c r="P122" s="40" t="s">
        <v>380</v>
      </c>
      <c r="Q122" s="79" t="s">
        <v>383</v>
      </c>
    </row>
    <row r="123" spans="2:17" x14ac:dyDescent="0.3">
      <c r="B123" s="39" t="s">
        <v>40</v>
      </c>
      <c r="C123" s="40" t="s">
        <v>309</v>
      </c>
      <c r="D123" s="40" t="str">
        <f t="shared" si="4"/>
        <v>Retailer Site</v>
      </c>
      <c r="E123" s="15" t="s">
        <v>366</v>
      </c>
      <c r="F123" s="40"/>
      <c r="G123" s="42">
        <v>1649</v>
      </c>
      <c r="H123" s="40" t="s">
        <v>384</v>
      </c>
      <c r="I123" s="40">
        <v>45</v>
      </c>
      <c r="J123" s="40">
        <f t="shared" si="5"/>
        <v>45</v>
      </c>
      <c r="K123" s="40">
        <v>8.6</v>
      </c>
      <c r="L123" s="40">
        <f t="shared" si="6"/>
        <v>9</v>
      </c>
      <c r="M123" s="44">
        <f>30*21.25*4</f>
        <v>2550</v>
      </c>
      <c r="N123" s="44">
        <f t="shared" si="7"/>
        <v>2550</v>
      </c>
      <c r="O123" s="40">
        <v>4</v>
      </c>
      <c r="P123" s="40" t="s">
        <v>380</v>
      </c>
      <c r="Q123" s="16" t="s">
        <v>385</v>
      </c>
    </row>
    <row r="124" spans="2:17" x14ac:dyDescent="0.3">
      <c r="B124" s="39" t="s">
        <v>25</v>
      </c>
      <c r="C124" s="40" t="s">
        <v>309</v>
      </c>
      <c r="D124" s="40" t="str">
        <f t="shared" si="4"/>
        <v>Retailer Site</v>
      </c>
      <c r="E124" s="15" t="s">
        <v>386</v>
      </c>
      <c r="F124" s="40"/>
      <c r="G124" s="42">
        <v>2276</v>
      </c>
      <c r="H124" s="40" t="s">
        <v>377</v>
      </c>
      <c r="I124" s="40">
        <v>50</v>
      </c>
      <c r="J124" s="40">
        <f t="shared" si="5"/>
        <v>50</v>
      </c>
      <c r="K124" s="40">
        <v>11.1</v>
      </c>
      <c r="L124" s="40">
        <f t="shared" si="6"/>
        <v>11</v>
      </c>
      <c r="M124" s="44">
        <f>36*20.375*4.625</f>
        <v>3392.4375</v>
      </c>
      <c r="N124" s="44">
        <f t="shared" si="7"/>
        <v>3400</v>
      </c>
      <c r="O124" s="40">
        <v>5</v>
      </c>
      <c r="P124" s="40" t="s">
        <v>380</v>
      </c>
      <c r="Q124" s="16" t="s">
        <v>387</v>
      </c>
    </row>
    <row r="125" spans="2:17" x14ac:dyDescent="0.3">
      <c r="B125" s="39" t="s">
        <v>25</v>
      </c>
      <c r="C125" s="40" t="s">
        <v>309</v>
      </c>
      <c r="D125" s="40" t="str">
        <f t="shared" si="4"/>
        <v>Retailer Site</v>
      </c>
      <c r="E125" s="15" t="s">
        <v>388</v>
      </c>
      <c r="F125" s="40"/>
      <c r="G125" s="42">
        <v>2117</v>
      </c>
      <c r="H125" s="40" t="s">
        <v>377</v>
      </c>
      <c r="I125" s="40">
        <v>40</v>
      </c>
      <c r="J125" s="40">
        <f t="shared" si="5"/>
        <v>40</v>
      </c>
      <c r="K125" s="40">
        <v>7.4</v>
      </c>
      <c r="L125" s="40">
        <f t="shared" si="6"/>
        <v>7</v>
      </c>
      <c r="M125" s="44">
        <f>29.75*21.375*4.625</f>
        <v>2941.06640625</v>
      </c>
      <c r="N125" s="44">
        <f t="shared" si="7"/>
        <v>2950</v>
      </c>
      <c r="O125" s="40">
        <v>4</v>
      </c>
      <c r="P125" s="40" t="s">
        <v>380</v>
      </c>
      <c r="Q125" s="16" t="s">
        <v>389</v>
      </c>
    </row>
    <row r="126" spans="2:17" x14ac:dyDescent="0.3">
      <c r="B126" s="39" t="s">
        <v>29</v>
      </c>
      <c r="C126" s="40" t="s">
        <v>309</v>
      </c>
      <c r="D126" s="40" t="str">
        <f t="shared" si="4"/>
        <v>Retailer Site</v>
      </c>
      <c r="E126" s="15" t="s">
        <v>323</v>
      </c>
      <c r="F126" s="40"/>
      <c r="G126" s="42">
        <v>1851</v>
      </c>
      <c r="H126" s="40" t="s">
        <v>373</v>
      </c>
      <c r="I126" s="40">
        <v>40</v>
      </c>
      <c r="J126" s="40">
        <f t="shared" si="5"/>
        <v>40</v>
      </c>
      <c r="K126" s="40">
        <v>15.8</v>
      </c>
      <c r="L126" s="40">
        <f t="shared" si="6"/>
        <v>16</v>
      </c>
      <c r="M126" s="44">
        <f>37*21.25*4.438</f>
        <v>3489.3774999999996</v>
      </c>
      <c r="N126" s="44">
        <f t="shared" si="7"/>
        <v>3500</v>
      </c>
      <c r="O126" s="40">
        <v>5</v>
      </c>
      <c r="P126" s="40" t="s">
        <v>390</v>
      </c>
      <c r="Q126" s="79" t="s">
        <v>391</v>
      </c>
    </row>
    <row r="127" spans="2:17" x14ac:dyDescent="0.3">
      <c r="B127" s="39" t="s">
        <v>40</v>
      </c>
      <c r="C127" s="40" t="s">
        <v>309</v>
      </c>
      <c r="D127" s="40" t="str">
        <f t="shared" si="4"/>
        <v>Retailer Site</v>
      </c>
      <c r="E127" s="15" t="s">
        <v>352</v>
      </c>
      <c r="F127" s="40"/>
      <c r="G127" s="42">
        <v>1749</v>
      </c>
      <c r="H127" s="40" t="s">
        <v>384</v>
      </c>
      <c r="I127" s="40">
        <v>45</v>
      </c>
      <c r="J127" s="40">
        <f t="shared" si="5"/>
        <v>45</v>
      </c>
      <c r="K127" s="40">
        <v>8.6</v>
      </c>
      <c r="L127" s="40">
        <f t="shared" si="6"/>
        <v>9</v>
      </c>
      <c r="M127" s="44">
        <f>30*21.25*4</f>
        <v>2550</v>
      </c>
      <c r="N127" s="44">
        <f t="shared" si="7"/>
        <v>2550</v>
      </c>
      <c r="O127" s="40">
        <v>4</v>
      </c>
      <c r="P127" s="40" t="s">
        <v>380</v>
      </c>
      <c r="Q127" s="16" t="s">
        <v>392</v>
      </c>
    </row>
    <row r="128" spans="2:17" x14ac:dyDescent="0.3">
      <c r="B128" s="39" t="s">
        <v>40</v>
      </c>
      <c r="C128" s="40" t="s">
        <v>309</v>
      </c>
      <c r="D128" s="40" t="str">
        <f t="shared" si="4"/>
        <v>Retailer Site</v>
      </c>
      <c r="E128" s="15" t="s">
        <v>335</v>
      </c>
      <c r="F128" s="40"/>
      <c r="G128" s="42">
        <v>1899</v>
      </c>
      <c r="H128" s="40" t="s">
        <v>384</v>
      </c>
      <c r="I128" s="40">
        <v>45</v>
      </c>
      <c r="J128" s="40">
        <f t="shared" si="5"/>
        <v>45</v>
      </c>
      <c r="K128" s="40">
        <v>10.8</v>
      </c>
      <c r="L128" s="40">
        <f t="shared" si="6"/>
        <v>11</v>
      </c>
      <c r="M128" s="44">
        <f>36*21.25*4</f>
        <v>3060</v>
      </c>
      <c r="N128" s="44">
        <f t="shared" si="7"/>
        <v>3050</v>
      </c>
      <c r="O128" s="40">
        <v>5</v>
      </c>
      <c r="P128" s="40" t="s">
        <v>380</v>
      </c>
      <c r="Q128" s="16" t="s">
        <v>393</v>
      </c>
    </row>
    <row r="129" spans="2:17" x14ac:dyDescent="0.3">
      <c r="B129" s="39" t="s">
        <v>40</v>
      </c>
      <c r="C129" s="40" t="s">
        <v>309</v>
      </c>
      <c r="D129" s="40" t="str">
        <f t="shared" si="4"/>
        <v>Retailer Site</v>
      </c>
      <c r="E129" s="15" t="s">
        <v>317</v>
      </c>
      <c r="F129" s="40"/>
      <c r="G129" s="42">
        <v>1999</v>
      </c>
      <c r="H129" s="40" t="s">
        <v>384</v>
      </c>
      <c r="I129" s="40">
        <v>45</v>
      </c>
      <c r="J129" s="40">
        <f t="shared" si="5"/>
        <v>45</v>
      </c>
      <c r="K129" s="40">
        <v>10.8</v>
      </c>
      <c r="L129" s="40">
        <f t="shared" si="6"/>
        <v>11</v>
      </c>
      <c r="M129" s="44">
        <f>36*21.25*4</f>
        <v>3060</v>
      </c>
      <c r="N129" s="44">
        <f t="shared" si="7"/>
        <v>3050</v>
      </c>
      <c r="O129" s="40">
        <v>5</v>
      </c>
      <c r="P129" s="40" t="s">
        <v>380</v>
      </c>
      <c r="Q129" s="16" t="s">
        <v>394</v>
      </c>
    </row>
    <row r="130" spans="2:17" x14ac:dyDescent="0.3">
      <c r="B130" s="39" t="s">
        <v>24</v>
      </c>
      <c r="C130" s="40" t="s">
        <v>309</v>
      </c>
      <c r="D130" s="40" t="str">
        <f t="shared" si="4"/>
        <v>Retailer Site</v>
      </c>
      <c r="E130" s="15" t="s">
        <v>310</v>
      </c>
      <c r="F130" s="40"/>
      <c r="G130" s="42">
        <v>949</v>
      </c>
      <c r="H130" s="40" t="s">
        <v>373</v>
      </c>
      <c r="I130" s="40">
        <v>35</v>
      </c>
      <c r="J130" s="40">
        <f t="shared" si="5"/>
        <v>35</v>
      </c>
      <c r="K130" s="40">
        <v>11</v>
      </c>
      <c r="L130" s="40">
        <f t="shared" si="6"/>
        <v>11</v>
      </c>
      <c r="M130" s="44">
        <f>30.75*21.5*4.375</f>
        <v>2892.421875</v>
      </c>
      <c r="N130" s="44">
        <f t="shared" si="7"/>
        <v>2900</v>
      </c>
      <c r="O130" s="40">
        <v>4</v>
      </c>
      <c r="P130" s="40" t="s">
        <v>171</v>
      </c>
      <c r="Q130" s="79" t="s">
        <v>313</v>
      </c>
    </row>
    <row r="131" spans="2:17" x14ac:dyDescent="0.3">
      <c r="B131" s="39" t="s">
        <v>24</v>
      </c>
      <c r="C131" s="40" t="s">
        <v>309</v>
      </c>
      <c r="D131" s="40" t="str">
        <f t="shared" si="4"/>
        <v>Retailer Site</v>
      </c>
      <c r="E131" s="15" t="s">
        <v>331</v>
      </c>
      <c r="F131" s="40"/>
      <c r="G131" s="42">
        <v>1044</v>
      </c>
      <c r="H131" s="40" t="s">
        <v>373</v>
      </c>
      <c r="I131" s="40">
        <v>45</v>
      </c>
      <c r="J131" s="40">
        <f t="shared" si="5"/>
        <v>45</v>
      </c>
      <c r="K131" s="40">
        <v>15.4</v>
      </c>
      <c r="L131" s="40">
        <f t="shared" si="6"/>
        <v>15</v>
      </c>
      <c r="M131" s="44">
        <f>30.75*21.5*4.375</f>
        <v>2892.421875</v>
      </c>
      <c r="N131" s="44">
        <f t="shared" si="7"/>
        <v>2900</v>
      </c>
      <c r="O131" s="40">
        <v>5</v>
      </c>
      <c r="P131" s="40" t="s">
        <v>171</v>
      </c>
      <c r="Q131" s="79" t="s">
        <v>395</v>
      </c>
    </row>
    <row r="132" spans="2:17" x14ac:dyDescent="0.3">
      <c r="B132" s="39" t="s">
        <v>24</v>
      </c>
      <c r="C132" s="40" t="s">
        <v>309</v>
      </c>
      <c r="D132" s="40" t="str">
        <f t="shared" si="4"/>
        <v>Retailer Site</v>
      </c>
      <c r="E132" s="15" t="s">
        <v>341</v>
      </c>
      <c r="F132" s="40"/>
      <c r="G132" s="42">
        <v>854</v>
      </c>
      <c r="H132" s="40" t="s">
        <v>373</v>
      </c>
      <c r="I132" s="40">
        <v>45</v>
      </c>
      <c r="J132" s="40">
        <f t="shared" si="5"/>
        <v>45</v>
      </c>
      <c r="K132" s="40">
        <v>14.2</v>
      </c>
      <c r="L132" s="40">
        <f t="shared" si="6"/>
        <v>14</v>
      </c>
      <c r="M132" s="44">
        <f>30.75*21.5*4.375</f>
        <v>2892.421875</v>
      </c>
      <c r="N132" s="44">
        <f t="shared" si="7"/>
        <v>2900</v>
      </c>
      <c r="O132" s="40">
        <v>5</v>
      </c>
      <c r="P132" s="40" t="s">
        <v>171</v>
      </c>
      <c r="Q132" s="79" t="s">
        <v>396</v>
      </c>
    </row>
    <row r="133" spans="2:17" x14ac:dyDescent="0.3">
      <c r="B133" s="39" t="s">
        <v>25</v>
      </c>
      <c r="C133" s="40" t="s">
        <v>309</v>
      </c>
      <c r="D133" s="40" t="str">
        <f t="shared" si="4"/>
        <v>Retailer Site</v>
      </c>
      <c r="E133" s="15" t="s">
        <v>397</v>
      </c>
      <c r="F133" s="40"/>
      <c r="G133" s="42">
        <v>2022</v>
      </c>
      <c r="H133" s="40" t="s">
        <v>373</v>
      </c>
      <c r="I133" s="40">
        <v>50</v>
      </c>
      <c r="J133" s="40">
        <f t="shared" si="5"/>
        <v>50</v>
      </c>
      <c r="K133" s="40">
        <v>11.1</v>
      </c>
      <c r="L133" s="40">
        <f t="shared" si="6"/>
        <v>11</v>
      </c>
      <c r="M133" s="44">
        <f>36.125*20.5*4.625</f>
        <v>3425.1015625</v>
      </c>
      <c r="N133" s="44">
        <f t="shared" si="7"/>
        <v>3425</v>
      </c>
      <c r="O133" s="40">
        <v>5</v>
      </c>
      <c r="P133" s="40" t="s">
        <v>380</v>
      </c>
      <c r="Q133" s="79" t="s">
        <v>398</v>
      </c>
    </row>
    <row r="134" spans="2:17" x14ac:dyDescent="0.3">
      <c r="B134" s="39" t="s">
        <v>29</v>
      </c>
      <c r="C134" s="40" t="s">
        <v>309</v>
      </c>
      <c r="D134" s="40" t="str">
        <f t="shared" si="4"/>
        <v>Retailer Site</v>
      </c>
      <c r="E134" s="15" t="s">
        <v>333</v>
      </c>
      <c r="F134" s="40"/>
      <c r="G134" s="42">
        <v>1484</v>
      </c>
      <c r="H134" s="40" t="s">
        <v>373</v>
      </c>
      <c r="I134" s="40">
        <v>30</v>
      </c>
      <c r="J134" s="40">
        <f t="shared" si="5"/>
        <v>30</v>
      </c>
      <c r="K134" s="40">
        <v>11.8</v>
      </c>
      <c r="L134" s="40">
        <f t="shared" si="6"/>
        <v>12</v>
      </c>
      <c r="M134" s="44">
        <f>31*21.25*4.125</f>
        <v>2717.34375</v>
      </c>
      <c r="N134" s="44">
        <f t="shared" si="7"/>
        <v>2725</v>
      </c>
      <c r="O134" s="40">
        <v>4</v>
      </c>
      <c r="P134" s="40" t="s">
        <v>390</v>
      </c>
      <c r="Q134" s="79" t="s">
        <v>399</v>
      </c>
    </row>
    <row r="135" spans="2:17" x14ac:dyDescent="0.3">
      <c r="B135" s="39" t="s">
        <v>24</v>
      </c>
      <c r="C135" s="40" t="s">
        <v>309</v>
      </c>
      <c r="D135" s="40" t="str">
        <f t="shared" si="4"/>
        <v>Retailer Site</v>
      </c>
      <c r="E135" s="15" t="s">
        <v>356</v>
      </c>
      <c r="F135" s="40"/>
      <c r="G135" s="42">
        <v>759</v>
      </c>
      <c r="H135" s="40" t="s">
        <v>373</v>
      </c>
      <c r="I135" s="40">
        <v>35</v>
      </c>
      <c r="J135" s="40">
        <f t="shared" si="5"/>
        <v>35</v>
      </c>
      <c r="K135" s="40">
        <v>10.4</v>
      </c>
      <c r="L135" s="40">
        <f t="shared" si="6"/>
        <v>10</v>
      </c>
      <c r="M135" s="44">
        <f>30.75*21.5*4.375</f>
        <v>2892.421875</v>
      </c>
      <c r="N135" s="44">
        <f t="shared" si="7"/>
        <v>2900</v>
      </c>
      <c r="O135" s="40">
        <v>4</v>
      </c>
      <c r="P135" s="40" t="s">
        <v>171</v>
      </c>
      <c r="Q135" s="79" t="s">
        <v>400</v>
      </c>
    </row>
    <row r="136" spans="2:17" x14ac:dyDescent="0.3">
      <c r="B136" s="39" t="s">
        <v>401</v>
      </c>
      <c r="C136" s="40" t="s">
        <v>309</v>
      </c>
      <c r="D136" s="40" t="str">
        <f t="shared" si="4"/>
        <v>Retailer Site</v>
      </c>
      <c r="E136" s="15" t="s">
        <v>402</v>
      </c>
      <c r="F136" s="40"/>
      <c r="G136" s="42">
        <v>1949</v>
      </c>
      <c r="H136" s="40" t="s">
        <v>373</v>
      </c>
      <c r="I136" s="40">
        <v>30</v>
      </c>
      <c r="J136" s="40">
        <f t="shared" si="5"/>
        <v>30</v>
      </c>
      <c r="K136" s="40">
        <v>14.8</v>
      </c>
      <c r="L136" s="40">
        <f t="shared" si="6"/>
        <v>15</v>
      </c>
      <c r="M136" s="44">
        <f>23.625*20.875*3.69</f>
        <v>1819.80421875</v>
      </c>
      <c r="N136" s="44">
        <f t="shared" si="7"/>
        <v>1825</v>
      </c>
      <c r="O136" s="40">
        <v>4</v>
      </c>
      <c r="P136" s="40" t="s">
        <v>157</v>
      </c>
      <c r="Q136" s="79" t="s">
        <v>403</v>
      </c>
    </row>
    <row r="137" spans="2:17" x14ac:dyDescent="0.3">
      <c r="B137" s="39" t="s">
        <v>22</v>
      </c>
      <c r="C137" s="40" t="s">
        <v>22</v>
      </c>
      <c r="D137" s="40" t="str">
        <f t="shared" si="4"/>
        <v>Mfg Site</v>
      </c>
      <c r="E137" s="47" t="s">
        <v>368</v>
      </c>
      <c r="F137" s="40"/>
      <c r="G137" s="42">
        <v>1499</v>
      </c>
      <c r="H137" s="40" t="s">
        <v>373</v>
      </c>
      <c r="I137" s="43"/>
      <c r="J137" s="40">
        <f t="shared" si="5"/>
        <v>0</v>
      </c>
      <c r="K137" s="40">
        <v>7.4</v>
      </c>
      <c r="L137" s="40">
        <f t="shared" si="6"/>
        <v>7</v>
      </c>
      <c r="M137" s="44">
        <f>30.375*21.3125*2.375</f>
        <v>1537.4970703125</v>
      </c>
      <c r="N137" s="44">
        <f t="shared" si="7"/>
        <v>1525</v>
      </c>
      <c r="O137" s="40">
        <v>4</v>
      </c>
      <c r="P137" s="40"/>
      <c r="Q137" s="79" t="s">
        <v>404</v>
      </c>
    </row>
    <row r="138" spans="2:17" x14ac:dyDescent="0.3">
      <c r="B138" s="39" t="s">
        <v>45</v>
      </c>
      <c r="C138" s="40" t="s">
        <v>45</v>
      </c>
      <c r="D138" s="40" t="str">
        <f t="shared" si="4"/>
        <v>Mfg Site</v>
      </c>
      <c r="E138" s="36" t="s">
        <v>358</v>
      </c>
      <c r="F138" s="40"/>
      <c r="G138" s="42">
        <v>1999</v>
      </c>
      <c r="H138" s="40" t="s">
        <v>373</v>
      </c>
      <c r="I138" s="43"/>
      <c r="J138" s="40">
        <f t="shared" si="5"/>
        <v>0</v>
      </c>
      <c r="K138" s="40">
        <v>10.5</v>
      </c>
      <c r="L138" s="40">
        <f t="shared" si="6"/>
        <v>11</v>
      </c>
      <c r="M138" s="44">
        <f>30.75*21.3125*3.125</f>
        <v>2047.998046875</v>
      </c>
      <c r="N138" s="44">
        <f t="shared" si="7"/>
        <v>2050</v>
      </c>
      <c r="O138" s="40">
        <v>4</v>
      </c>
      <c r="P138" s="40"/>
      <c r="Q138" s="79" t="s">
        <v>405</v>
      </c>
    </row>
    <row r="139" spans="2:17" x14ac:dyDescent="0.3">
      <c r="B139" s="39" t="s">
        <v>45</v>
      </c>
      <c r="C139" s="40" t="s">
        <v>45</v>
      </c>
      <c r="D139" s="40" t="str">
        <f t="shared" si="4"/>
        <v>Mfg Site</v>
      </c>
      <c r="E139" s="36" t="s">
        <v>337</v>
      </c>
      <c r="F139" s="40"/>
      <c r="G139" s="42">
        <v>2199</v>
      </c>
      <c r="H139" s="40" t="s">
        <v>373</v>
      </c>
      <c r="I139" s="43"/>
      <c r="J139" s="40">
        <f t="shared" si="5"/>
        <v>0</v>
      </c>
      <c r="K139" s="40">
        <v>10</v>
      </c>
      <c r="L139" s="40">
        <f t="shared" si="6"/>
        <v>10</v>
      </c>
      <c r="M139" s="44">
        <f>36.3125*19.3125*3.125</f>
        <v>2191.51611328125</v>
      </c>
      <c r="N139" s="44">
        <f t="shared" si="7"/>
        <v>2200</v>
      </c>
      <c r="O139" s="40">
        <v>4</v>
      </c>
      <c r="P139" s="40"/>
      <c r="Q139" s="79" t="s">
        <v>406</v>
      </c>
    </row>
    <row r="140" spans="2:17" x14ac:dyDescent="0.3">
      <c r="B140" s="48" t="s">
        <v>25</v>
      </c>
      <c r="C140" s="41" t="s">
        <v>25</v>
      </c>
      <c r="D140" s="40" t="str">
        <f t="shared" si="4"/>
        <v>Mfg Site</v>
      </c>
      <c r="E140" s="36" t="s">
        <v>354</v>
      </c>
      <c r="F140" s="41"/>
      <c r="G140" s="42">
        <v>1699</v>
      </c>
      <c r="H140" s="41" t="s">
        <v>373</v>
      </c>
      <c r="I140" s="41">
        <v>40</v>
      </c>
      <c r="J140" s="40">
        <f t="shared" si="5"/>
        <v>40</v>
      </c>
      <c r="K140" s="41">
        <v>10.5</v>
      </c>
      <c r="L140" s="40">
        <f t="shared" si="6"/>
        <v>11</v>
      </c>
      <c r="M140" s="49">
        <f>28.5*19.3125*4.625</f>
        <v>2545.62890625</v>
      </c>
      <c r="N140" s="44">
        <f t="shared" si="7"/>
        <v>2550</v>
      </c>
      <c r="O140" s="41">
        <v>4</v>
      </c>
      <c r="P140" s="41" t="s">
        <v>407</v>
      </c>
      <c r="Q140" s="79" t="s">
        <v>408</v>
      </c>
    </row>
    <row r="141" spans="2:17" x14ac:dyDescent="0.3">
      <c r="B141" s="48" t="s">
        <v>25</v>
      </c>
      <c r="C141" s="41" t="s">
        <v>25</v>
      </c>
      <c r="D141" s="40" t="str">
        <f t="shared" si="4"/>
        <v>Mfg Site</v>
      </c>
      <c r="E141" s="36" t="s">
        <v>360</v>
      </c>
      <c r="F141" s="41"/>
      <c r="G141" s="42">
        <v>1599</v>
      </c>
      <c r="H141" s="41" t="s">
        <v>373</v>
      </c>
      <c r="I141" s="41">
        <v>40</v>
      </c>
      <c r="J141" s="40">
        <f t="shared" si="5"/>
        <v>40</v>
      </c>
      <c r="K141" s="41">
        <v>10.5</v>
      </c>
      <c r="L141" s="40">
        <f t="shared" si="6"/>
        <v>11</v>
      </c>
      <c r="M141" s="49">
        <f>28.5*19.3125*4.625</f>
        <v>2545.62890625</v>
      </c>
      <c r="N141" s="44">
        <f t="shared" si="7"/>
        <v>2550</v>
      </c>
      <c r="O141" s="41">
        <v>4</v>
      </c>
      <c r="P141" s="41" t="s">
        <v>407</v>
      </c>
      <c r="Q141" s="79" t="s">
        <v>409</v>
      </c>
    </row>
    <row r="142" spans="2:17" x14ac:dyDescent="0.3">
      <c r="B142" s="48" t="s">
        <v>45</v>
      </c>
      <c r="C142" s="41" t="s">
        <v>165</v>
      </c>
      <c r="D142" s="40" t="str">
        <f t="shared" si="4"/>
        <v>Retailer Site</v>
      </c>
      <c r="E142" s="47" t="s">
        <v>337</v>
      </c>
      <c r="F142" s="41"/>
      <c r="G142" s="42">
        <v>1979.1</v>
      </c>
      <c r="H142" s="41"/>
      <c r="I142" s="41">
        <v>50</v>
      </c>
      <c r="J142" s="40">
        <f t="shared" si="5"/>
        <v>50</v>
      </c>
      <c r="K142" s="41">
        <v>14.8</v>
      </c>
      <c r="L142" s="40">
        <f t="shared" si="6"/>
        <v>15</v>
      </c>
      <c r="M142" s="49">
        <f>36.31*21.31*3.13</f>
        <v>2421.8878930000001</v>
      </c>
      <c r="N142" s="44">
        <f t="shared" si="7"/>
        <v>2425</v>
      </c>
      <c r="O142" s="41">
        <v>5</v>
      </c>
      <c r="P142" s="41" t="s">
        <v>157</v>
      </c>
      <c r="Q142" s="16" t="s">
        <v>410</v>
      </c>
    </row>
    <row r="143" spans="2:17" x14ac:dyDescent="0.3">
      <c r="B143" s="50" t="s">
        <v>24</v>
      </c>
      <c r="C143" s="51" t="s">
        <v>165</v>
      </c>
      <c r="D143" s="40" t="str">
        <f t="shared" si="4"/>
        <v>Retailer Site</v>
      </c>
      <c r="E143" s="37" t="s">
        <v>310</v>
      </c>
      <c r="F143" s="51"/>
      <c r="G143" s="52">
        <v>899.1</v>
      </c>
      <c r="H143" s="51"/>
      <c r="I143" s="51">
        <v>40</v>
      </c>
      <c r="J143" s="40">
        <f t="shared" si="5"/>
        <v>40</v>
      </c>
      <c r="K143" s="51">
        <v>10.4</v>
      </c>
      <c r="L143" s="40">
        <f t="shared" si="6"/>
        <v>10</v>
      </c>
      <c r="M143" s="53">
        <f>29.75*20.5*4.5</f>
        <v>2744.4375</v>
      </c>
      <c r="N143" s="44">
        <f t="shared" si="7"/>
        <v>2750</v>
      </c>
      <c r="O143" s="51">
        <v>4</v>
      </c>
      <c r="P143" s="51" t="s">
        <v>411</v>
      </c>
      <c r="Q143" s="79" t="s">
        <v>412</v>
      </c>
    </row>
    <row r="144" spans="2:17" x14ac:dyDescent="0.3">
      <c r="B144" s="50" t="s">
        <v>29</v>
      </c>
      <c r="C144" s="51" t="s">
        <v>165</v>
      </c>
      <c r="D144" s="40" t="str">
        <f t="shared" si="4"/>
        <v>Retailer Site</v>
      </c>
      <c r="E144" s="36" t="s">
        <v>413</v>
      </c>
      <c r="F144" s="51"/>
      <c r="G144" s="52">
        <v>1844.1</v>
      </c>
      <c r="H144" s="51"/>
      <c r="I144" s="51">
        <v>30</v>
      </c>
      <c r="J144" s="40">
        <f t="shared" si="5"/>
        <v>30</v>
      </c>
      <c r="K144" s="51">
        <v>7.6</v>
      </c>
      <c r="L144" s="40">
        <f t="shared" si="6"/>
        <v>8</v>
      </c>
      <c r="M144" s="53">
        <f>28.875*20*4.125</f>
        <v>2382.1875</v>
      </c>
      <c r="N144" s="44">
        <f t="shared" si="7"/>
        <v>2375</v>
      </c>
      <c r="O144" s="51">
        <v>4</v>
      </c>
      <c r="P144" s="51" t="s">
        <v>390</v>
      </c>
      <c r="Q144" s="79" t="s">
        <v>414</v>
      </c>
    </row>
    <row r="145" spans="2:17" x14ac:dyDescent="0.3">
      <c r="B145" s="50" t="s">
        <v>24</v>
      </c>
      <c r="C145" s="51" t="s">
        <v>165</v>
      </c>
      <c r="D145" s="40" t="str">
        <f t="shared" si="4"/>
        <v>Retailer Site</v>
      </c>
      <c r="E145" s="36" t="s">
        <v>331</v>
      </c>
      <c r="F145" s="51"/>
      <c r="G145" s="52">
        <v>989.1</v>
      </c>
      <c r="H145" s="51"/>
      <c r="I145" s="51">
        <v>40</v>
      </c>
      <c r="J145" s="40">
        <f t="shared" si="5"/>
        <v>40</v>
      </c>
      <c r="K145" s="51">
        <v>13.8</v>
      </c>
      <c r="L145" s="40">
        <f t="shared" si="6"/>
        <v>14</v>
      </c>
      <c r="M145" s="53">
        <f>36*20.5*4.5</f>
        <v>3321</v>
      </c>
      <c r="N145" s="44">
        <f t="shared" si="7"/>
        <v>3325</v>
      </c>
      <c r="O145" s="51">
        <v>5</v>
      </c>
      <c r="P145" s="51" t="s">
        <v>415</v>
      </c>
      <c r="Q145" s="79" t="s">
        <v>416</v>
      </c>
    </row>
    <row r="146" spans="2:17" x14ac:dyDescent="0.3">
      <c r="B146" s="50" t="s">
        <v>24</v>
      </c>
      <c r="C146" s="51" t="s">
        <v>165</v>
      </c>
      <c r="D146" s="40" t="str">
        <f t="shared" si="4"/>
        <v>Retailer Site</v>
      </c>
      <c r="E146" s="36" t="s">
        <v>341</v>
      </c>
      <c r="F146" s="51"/>
      <c r="G146" s="52">
        <v>809.1</v>
      </c>
      <c r="H146" s="51"/>
      <c r="I146" s="51">
        <v>40</v>
      </c>
      <c r="J146" s="40">
        <f t="shared" si="5"/>
        <v>40</v>
      </c>
      <c r="K146" s="51">
        <v>10</v>
      </c>
      <c r="L146" s="40">
        <f t="shared" si="6"/>
        <v>10</v>
      </c>
      <c r="M146" s="53">
        <f>35*19.812*3.625</f>
        <v>2513.6475</v>
      </c>
      <c r="N146" s="44">
        <f t="shared" si="7"/>
        <v>2525</v>
      </c>
      <c r="O146" s="51">
        <v>5</v>
      </c>
      <c r="P146" s="51" t="s">
        <v>417</v>
      </c>
      <c r="Q146" s="79" t="s">
        <v>418</v>
      </c>
    </row>
    <row r="147" spans="2:17" x14ac:dyDescent="0.3">
      <c r="B147" s="50" t="s">
        <v>26</v>
      </c>
      <c r="C147" s="51" t="s">
        <v>165</v>
      </c>
      <c r="D147" s="40" t="str">
        <f t="shared" si="4"/>
        <v>Retailer Site</v>
      </c>
      <c r="E147" s="36" t="s">
        <v>386</v>
      </c>
      <c r="F147" s="51"/>
      <c r="G147" s="52">
        <v>2276.1</v>
      </c>
      <c r="H147" s="51"/>
      <c r="I147" s="51">
        <v>50</v>
      </c>
      <c r="J147" s="40">
        <f t="shared" si="5"/>
        <v>50</v>
      </c>
      <c r="K147" s="51">
        <v>13.7</v>
      </c>
      <c r="L147" s="40">
        <f t="shared" si="6"/>
        <v>14</v>
      </c>
      <c r="M147" s="53">
        <f>33.875*19.125*4.625</f>
        <v>2996.349609375</v>
      </c>
      <c r="N147" s="44">
        <f t="shared" si="7"/>
        <v>3000</v>
      </c>
      <c r="O147" s="51">
        <v>5</v>
      </c>
      <c r="P147" s="51" t="s">
        <v>157</v>
      </c>
      <c r="Q147" s="79" t="s">
        <v>419</v>
      </c>
    </row>
    <row r="148" spans="2:17" x14ac:dyDescent="0.3">
      <c r="B148" s="50" t="s">
        <v>420</v>
      </c>
      <c r="C148" s="51" t="s">
        <v>165</v>
      </c>
      <c r="D148" s="40" t="str">
        <f t="shared" si="4"/>
        <v>Retailer Site</v>
      </c>
      <c r="E148" s="36" t="s">
        <v>421</v>
      </c>
      <c r="F148" s="51"/>
      <c r="G148" s="52">
        <v>999</v>
      </c>
      <c r="H148" s="51"/>
      <c r="I148" s="51">
        <v>40</v>
      </c>
      <c r="J148" s="40">
        <f t="shared" si="5"/>
        <v>40</v>
      </c>
      <c r="K148" s="51">
        <v>13.9</v>
      </c>
      <c r="L148" s="40">
        <f t="shared" si="6"/>
        <v>14</v>
      </c>
      <c r="M148" s="53">
        <f>34.4*19.4*2.75</f>
        <v>1835.2399999999998</v>
      </c>
      <c r="N148" s="44">
        <f t="shared" si="7"/>
        <v>1825</v>
      </c>
      <c r="O148" s="51">
        <v>5</v>
      </c>
      <c r="P148" s="51" t="s">
        <v>422</v>
      </c>
      <c r="Q148" s="79" t="s">
        <v>423</v>
      </c>
    </row>
    <row r="149" spans="2:17" x14ac:dyDescent="0.3">
      <c r="B149" s="50" t="s">
        <v>424</v>
      </c>
      <c r="C149" s="51" t="s">
        <v>165</v>
      </c>
      <c r="D149" s="40" t="str">
        <f t="shared" si="4"/>
        <v>Retailer Site</v>
      </c>
      <c r="E149" s="36" t="s">
        <v>425</v>
      </c>
      <c r="F149" s="51"/>
      <c r="G149" s="52">
        <v>1099.99</v>
      </c>
      <c r="H149" s="51"/>
      <c r="I149" s="51">
        <v>40</v>
      </c>
      <c r="J149" s="40">
        <f t="shared" si="5"/>
        <v>40</v>
      </c>
      <c r="K149" s="51">
        <v>11.5</v>
      </c>
      <c r="L149" s="40">
        <f t="shared" si="6"/>
        <v>12</v>
      </c>
      <c r="M149" s="53">
        <f>29.625*20*4.5</f>
        <v>2666.25</v>
      </c>
      <c r="N149" s="44">
        <f t="shared" si="7"/>
        <v>2675</v>
      </c>
      <c r="O149" s="51">
        <v>4</v>
      </c>
      <c r="P149" s="51" t="s">
        <v>426</v>
      </c>
      <c r="Q149" s="79" t="s">
        <v>427</v>
      </c>
    </row>
    <row r="150" spans="2:17" x14ac:dyDescent="0.3">
      <c r="B150" s="50" t="s">
        <v>420</v>
      </c>
      <c r="C150" s="51" t="s">
        <v>165</v>
      </c>
      <c r="D150" s="40" t="str">
        <f t="shared" si="4"/>
        <v>Retailer Site</v>
      </c>
      <c r="E150" s="36" t="s">
        <v>428</v>
      </c>
      <c r="F150" s="51"/>
      <c r="G150" s="52">
        <v>799</v>
      </c>
      <c r="H150" s="51"/>
      <c r="I150" s="51">
        <v>31</v>
      </c>
      <c r="J150" s="40">
        <f t="shared" si="5"/>
        <v>30</v>
      </c>
      <c r="K150" s="51">
        <v>10.5</v>
      </c>
      <c r="L150" s="40">
        <f t="shared" si="6"/>
        <v>11</v>
      </c>
      <c r="M150" s="53">
        <f>28.5*19.4*2.75</f>
        <v>1520.4749999999999</v>
      </c>
      <c r="N150" s="44">
        <f t="shared" si="7"/>
        <v>1525</v>
      </c>
      <c r="O150" s="51">
        <v>4</v>
      </c>
      <c r="P150" s="51" t="s">
        <v>422</v>
      </c>
      <c r="Q150" s="79" t="s">
        <v>429</v>
      </c>
    </row>
    <row r="151" spans="2:17" x14ac:dyDescent="0.3">
      <c r="B151" s="50" t="s">
        <v>29</v>
      </c>
      <c r="C151" s="51" t="s">
        <v>165</v>
      </c>
      <c r="D151" s="40" t="str">
        <f t="shared" si="4"/>
        <v>Retailer Site</v>
      </c>
      <c r="E151" s="36" t="s">
        <v>333</v>
      </c>
      <c r="F151" s="51"/>
      <c r="G151" s="52">
        <v>1484.1</v>
      </c>
      <c r="H151" s="51"/>
      <c r="I151" s="51">
        <v>30</v>
      </c>
      <c r="J151" s="40">
        <f t="shared" si="5"/>
        <v>30</v>
      </c>
      <c r="K151" s="51">
        <v>7.6</v>
      </c>
      <c r="L151" s="40">
        <f t="shared" si="6"/>
        <v>8</v>
      </c>
      <c r="M151" s="53">
        <f>28.75*19.875*4.125</f>
        <v>2357.05078125</v>
      </c>
      <c r="N151" s="44">
        <f t="shared" si="7"/>
        <v>2350</v>
      </c>
      <c r="O151" s="51">
        <v>4</v>
      </c>
      <c r="P151" s="51" t="s">
        <v>171</v>
      </c>
      <c r="Q151" s="79" t="s">
        <v>430</v>
      </c>
    </row>
    <row r="152" spans="2:17" x14ac:dyDescent="0.3">
      <c r="B152" s="50" t="s">
        <v>24</v>
      </c>
      <c r="C152" s="51" t="s">
        <v>165</v>
      </c>
      <c r="D152" s="40" t="str">
        <f t="shared" si="4"/>
        <v>Retailer Site</v>
      </c>
      <c r="E152" s="36" t="s">
        <v>356</v>
      </c>
      <c r="F152" s="51"/>
      <c r="G152" s="52">
        <v>719.1</v>
      </c>
      <c r="H152" s="51"/>
      <c r="I152" s="51">
        <v>30</v>
      </c>
      <c r="J152" s="40">
        <f t="shared" si="5"/>
        <v>30</v>
      </c>
      <c r="K152" s="51">
        <v>7.2</v>
      </c>
      <c r="L152" s="40">
        <f t="shared" si="6"/>
        <v>7</v>
      </c>
      <c r="M152" s="53">
        <f>29.187*20.06*3.625</f>
        <v>2122.4056725</v>
      </c>
      <c r="N152" s="44">
        <f t="shared" si="7"/>
        <v>2125</v>
      </c>
      <c r="O152" s="51">
        <v>4</v>
      </c>
      <c r="P152" s="51" t="s">
        <v>417</v>
      </c>
      <c r="Q152" s="79" t="s">
        <v>431</v>
      </c>
    </row>
    <row r="153" spans="2:17" x14ac:dyDescent="0.3">
      <c r="B153" s="50" t="s">
        <v>29</v>
      </c>
      <c r="C153" s="51" t="s">
        <v>165</v>
      </c>
      <c r="D153" s="40" t="str">
        <f t="shared" ref="D153:D184" si="8">IF($B153=$C153,"Mfg Site","Retailer Site")</f>
        <v>Retailer Site</v>
      </c>
      <c r="E153" s="36" t="s">
        <v>432</v>
      </c>
      <c r="F153" s="51"/>
      <c r="G153" s="52">
        <v>2204.1</v>
      </c>
      <c r="H153" s="51"/>
      <c r="I153" s="51">
        <v>40</v>
      </c>
      <c r="J153" s="40">
        <f t="shared" ref="J153:J184" si="9">ROUND($I153/5,0)*5</f>
        <v>40</v>
      </c>
      <c r="K153" s="51">
        <v>10.7</v>
      </c>
      <c r="L153" s="40">
        <f t="shared" ref="L153:L184" si="10">ROUND($K153,0)</f>
        <v>11</v>
      </c>
      <c r="M153" s="53">
        <f>34.875*20*4.125</f>
        <v>2877.1875</v>
      </c>
      <c r="N153" s="44">
        <f t="shared" ref="N153:N184" si="11">ROUND($M153/25,0)*25</f>
        <v>2875</v>
      </c>
      <c r="O153" s="51">
        <v>5</v>
      </c>
      <c r="P153" s="51" t="s">
        <v>390</v>
      </c>
      <c r="Q153" s="79" t="s">
        <v>433</v>
      </c>
    </row>
    <row r="154" spans="2:17" x14ac:dyDescent="0.3">
      <c r="B154" s="50" t="s">
        <v>22</v>
      </c>
      <c r="C154" s="51" t="s">
        <v>165</v>
      </c>
      <c r="D154" s="40" t="str">
        <f t="shared" si="8"/>
        <v>Retailer Site</v>
      </c>
      <c r="E154" s="37" t="s">
        <v>368</v>
      </c>
      <c r="F154" s="51"/>
      <c r="G154" s="52">
        <v>1349.1</v>
      </c>
      <c r="H154" s="51"/>
      <c r="I154" s="51">
        <v>40</v>
      </c>
      <c r="J154" s="40">
        <f t="shared" si="9"/>
        <v>40</v>
      </c>
      <c r="K154" s="51">
        <v>8.3000000000000007</v>
      </c>
      <c r="L154" s="40">
        <f t="shared" si="10"/>
        <v>8</v>
      </c>
      <c r="M154" s="53">
        <f>29.5*19.31*2.38</f>
        <v>1355.7550999999999</v>
      </c>
      <c r="N154" s="44">
        <f t="shared" si="11"/>
        <v>1350</v>
      </c>
      <c r="O154" s="51">
        <v>4</v>
      </c>
      <c r="P154" s="51" t="s">
        <v>434</v>
      </c>
      <c r="Q154" s="79" t="s">
        <v>435</v>
      </c>
    </row>
    <row r="155" spans="2:17" x14ac:dyDescent="0.3">
      <c r="B155" s="35" t="s">
        <v>436</v>
      </c>
      <c r="C155" s="51" t="s">
        <v>165</v>
      </c>
      <c r="D155" s="40" t="str">
        <f t="shared" si="8"/>
        <v>Retailer Site</v>
      </c>
      <c r="E155" s="36" t="s">
        <v>437</v>
      </c>
      <c r="F155" s="51"/>
      <c r="G155" s="52">
        <v>590.30999999999995</v>
      </c>
      <c r="H155" s="51"/>
      <c r="I155" s="51">
        <v>41</v>
      </c>
      <c r="J155" s="40">
        <f t="shared" si="9"/>
        <v>40</v>
      </c>
      <c r="K155" s="51">
        <v>7.6</v>
      </c>
      <c r="L155" s="40">
        <f t="shared" si="10"/>
        <v>8</v>
      </c>
      <c r="M155" s="53">
        <f>34.43*19.687*2.156</f>
        <v>1461.3872719600004</v>
      </c>
      <c r="N155" s="44">
        <f t="shared" si="11"/>
        <v>1450</v>
      </c>
      <c r="O155" s="51">
        <v>5</v>
      </c>
      <c r="P155" s="51" t="s">
        <v>426</v>
      </c>
      <c r="Q155" s="79" t="s">
        <v>438</v>
      </c>
    </row>
    <row r="156" spans="2:17" x14ac:dyDescent="0.3">
      <c r="B156" s="50" t="s">
        <v>31</v>
      </c>
      <c r="C156" s="51" t="s">
        <v>165</v>
      </c>
      <c r="D156" s="40" t="str">
        <f t="shared" si="8"/>
        <v>Retailer Site</v>
      </c>
      <c r="E156" s="36" t="s">
        <v>439</v>
      </c>
      <c r="F156" s="51"/>
      <c r="G156" s="52">
        <v>738.39</v>
      </c>
      <c r="H156" s="51"/>
      <c r="I156" s="51">
        <v>35</v>
      </c>
      <c r="J156" s="40">
        <f t="shared" si="9"/>
        <v>35</v>
      </c>
      <c r="K156" s="51">
        <v>6.8</v>
      </c>
      <c r="L156" s="40">
        <f t="shared" si="10"/>
        <v>7</v>
      </c>
      <c r="M156" s="53">
        <f>19.38*22.13*2.5</f>
        <v>1072.1985</v>
      </c>
      <c r="N156" s="44">
        <f t="shared" si="11"/>
        <v>1075</v>
      </c>
      <c r="O156" s="51">
        <v>4</v>
      </c>
      <c r="P156" s="51" t="s">
        <v>426</v>
      </c>
      <c r="Q156" s="79" t="s">
        <v>440</v>
      </c>
    </row>
    <row r="157" spans="2:17" x14ac:dyDescent="0.3">
      <c r="B157" s="50" t="s">
        <v>25</v>
      </c>
      <c r="C157" s="51" t="s">
        <v>165</v>
      </c>
      <c r="D157" s="40" t="str">
        <f t="shared" si="8"/>
        <v>Retailer Site</v>
      </c>
      <c r="E157" s="51" t="s">
        <v>360</v>
      </c>
      <c r="F157" s="51"/>
      <c r="G157" s="52">
        <v>1439.1</v>
      </c>
      <c r="H157" s="51"/>
      <c r="I157" s="51">
        <v>40</v>
      </c>
      <c r="J157" s="40">
        <f t="shared" si="9"/>
        <v>40</v>
      </c>
      <c r="K157" s="51">
        <v>10.5</v>
      </c>
      <c r="L157" s="40">
        <f t="shared" si="10"/>
        <v>11</v>
      </c>
      <c r="M157" s="53">
        <f>29.75*20.875*4.625</f>
        <v>2872.26953125</v>
      </c>
      <c r="N157" s="44">
        <f t="shared" si="11"/>
        <v>2875</v>
      </c>
      <c r="O157" s="51">
        <v>4</v>
      </c>
      <c r="P157" s="51" t="s">
        <v>157</v>
      </c>
      <c r="Q157" s="79" t="s">
        <v>441</v>
      </c>
    </row>
    <row r="158" spans="2:17" x14ac:dyDescent="0.3">
      <c r="B158" s="50" t="s">
        <v>125</v>
      </c>
      <c r="C158" s="51" t="s">
        <v>165</v>
      </c>
      <c r="D158" s="40" t="str">
        <f t="shared" si="8"/>
        <v>Retailer Site</v>
      </c>
      <c r="E158" s="36" t="s">
        <v>319</v>
      </c>
      <c r="F158" s="51"/>
      <c r="G158" s="52">
        <v>1979.1</v>
      </c>
      <c r="H158" s="51"/>
      <c r="I158" s="51">
        <v>50</v>
      </c>
      <c r="J158" s="40">
        <f t="shared" si="9"/>
        <v>50</v>
      </c>
      <c r="K158" s="51">
        <v>15.8</v>
      </c>
      <c r="L158" s="40">
        <f t="shared" si="10"/>
        <v>16</v>
      </c>
      <c r="M158" s="53">
        <f>36*20.375*4.5</f>
        <v>3300.75</v>
      </c>
      <c r="N158" s="44">
        <f t="shared" si="11"/>
        <v>3300</v>
      </c>
      <c r="O158" s="51">
        <v>5</v>
      </c>
      <c r="P158" s="51" t="s">
        <v>415</v>
      </c>
      <c r="Q158" s="79" t="s">
        <v>442</v>
      </c>
    </row>
    <row r="159" spans="2:17" x14ac:dyDescent="0.3">
      <c r="B159" s="50" t="s">
        <v>29</v>
      </c>
      <c r="C159" s="51" t="s">
        <v>165</v>
      </c>
      <c r="D159" s="40" t="str">
        <f t="shared" si="8"/>
        <v>Retailer Site</v>
      </c>
      <c r="E159" s="36" t="s">
        <v>376</v>
      </c>
      <c r="F159" s="51"/>
      <c r="G159" s="52">
        <v>1844.1</v>
      </c>
      <c r="H159" s="51"/>
      <c r="I159" s="51">
        <v>30</v>
      </c>
      <c r="J159" s="40">
        <f t="shared" si="9"/>
        <v>30</v>
      </c>
      <c r="K159" s="51">
        <v>7.6</v>
      </c>
      <c r="L159" s="40">
        <f t="shared" si="10"/>
        <v>8</v>
      </c>
      <c r="M159" s="53">
        <f>28.875*20*4.125</f>
        <v>2382.1875</v>
      </c>
      <c r="N159" s="44">
        <f t="shared" si="11"/>
        <v>2375</v>
      </c>
      <c r="O159" s="51">
        <v>4</v>
      </c>
      <c r="P159" s="51" t="s">
        <v>390</v>
      </c>
      <c r="Q159" s="79" t="s">
        <v>443</v>
      </c>
    </row>
    <row r="160" spans="2:17" x14ac:dyDescent="0.3">
      <c r="B160" s="50" t="s">
        <v>25</v>
      </c>
      <c r="C160" s="51" t="s">
        <v>165</v>
      </c>
      <c r="D160" s="40" t="str">
        <f t="shared" si="8"/>
        <v>Retailer Site</v>
      </c>
      <c r="E160" s="51" t="s">
        <v>345</v>
      </c>
      <c r="F160" s="51"/>
      <c r="G160" s="52">
        <v>1709.1</v>
      </c>
      <c r="H160" s="51"/>
      <c r="I160" s="51">
        <v>50</v>
      </c>
      <c r="J160" s="40">
        <f t="shared" si="9"/>
        <v>50</v>
      </c>
      <c r="K160" s="51">
        <v>13.7</v>
      </c>
      <c r="L160" s="40">
        <f t="shared" si="10"/>
        <v>14</v>
      </c>
      <c r="M160" s="53">
        <f>36*20.375*4.625</f>
        <v>3392.4375</v>
      </c>
      <c r="N160" s="44">
        <f t="shared" si="11"/>
        <v>3400</v>
      </c>
      <c r="O160" s="51">
        <v>5</v>
      </c>
      <c r="P160" s="51" t="s">
        <v>157</v>
      </c>
      <c r="Q160" s="16" t="s">
        <v>444</v>
      </c>
    </row>
    <row r="161" spans="2:17" x14ac:dyDescent="0.3">
      <c r="B161" s="50" t="s">
        <v>29</v>
      </c>
      <c r="C161" s="51" t="s">
        <v>165</v>
      </c>
      <c r="D161" s="40" t="str">
        <f t="shared" si="8"/>
        <v>Retailer Site</v>
      </c>
      <c r="E161" s="36" t="s">
        <v>323</v>
      </c>
      <c r="F161" s="51"/>
      <c r="G161" s="52">
        <v>1754.1</v>
      </c>
      <c r="H161" s="51"/>
      <c r="I161" s="51">
        <v>40</v>
      </c>
      <c r="J161" s="40">
        <f t="shared" si="9"/>
        <v>40</v>
      </c>
      <c r="K161" s="51">
        <v>10.5</v>
      </c>
      <c r="L161" s="40">
        <f t="shared" si="10"/>
        <v>11</v>
      </c>
      <c r="M161" s="53">
        <f>34.88*19.88*4.13</f>
        <v>2863.8014720000001</v>
      </c>
      <c r="N161" s="44">
        <f t="shared" si="11"/>
        <v>2875</v>
      </c>
      <c r="O161" s="51">
        <v>5</v>
      </c>
      <c r="P161" s="51" t="s">
        <v>171</v>
      </c>
      <c r="Q161" s="79" t="s">
        <v>445</v>
      </c>
    </row>
    <row r="162" spans="2:17" x14ac:dyDescent="0.3">
      <c r="B162" s="50" t="s">
        <v>29</v>
      </c>
      <c r="C162" s="51" t="s">
        <v>165</v>
      </c>
      <c r="D162" s="40" t="str">
        <f t="shared" si="8"/>
        <v>Retailer Site</v>
      </c>
      <c r="E162" s="36" t="s">
        <v>446</v>
      </c>
      <c r="F162" s="51"/>
      <c r="G162" s="52">
        <v>2204.1</v>
      </c>
      <c r="H162" s="51"/>
      <c r="I162" s="51">
        <v>40</v>
      </c>
      <c r="J162" s="40">
        <f t="shared" si="9"/>
        <v>40</v>
      </c>
      <c r="K162" s="51">
        <v>10.5</v>
      </c>
      <c r="L162" s="40">
        <f t="shared" si="10"/>
        <v>11</v>
      </c>
      <c r="M162" s="53">
        <f>34.875*20*4.125</f>
        <v>2877.1875</v>
      </c>
      <c r="N162" s="44">
        <f t="shared" si="11"/>
        <v>2875</v>
      </c>
      <c r="O162" s="51">
        <v>5</v>
      </c>
      <c r="P162" s="51" t="s">
        <v>390</v>
      </c>
      <c r="Q162" s="79" t="s">
        <v>447</v>
      </c>
    </row>
    <row r="163" spans="2:17" x14ac:dyDescent="0.3">
      <c r="B163" s="50" t="s">
        <v>436</v>
      </c>
      <c r="C163" s="51" t="s">
        <v>165</v>
      </c>
      <c r="D163" s="40" t="str">
        <f t="shared" si="8"/>
        <v>Retailer Site</v>
      </c>
      <c r="E163" s="36" t="s">
        <v>448</v>
      </c>
      <c r="F163" s="51"/>
      <c r="G163" s="52">
        <v>741.18</v>
      </c>
      <c r="H163" s="51"/>
      <c r="I163" s="51">
        <v>50</v>
      </c>
      <c r="J163" s="40">
        <f t="shared" si="9"/>
        <v>50</v>
      </c>
      <c r="K163" s="51">
        <v>9.6999999999999993</v>
      </c>
      <c r="L163" s="40">
        <f t="shared" si="10"/>
        <v>10</v>
      </c>
      <c r="M163" s="53">
        <f>34.38*19.44*2.16</f>
        <v>1443.6299520000002</v>
      </c>
      <c r="N163" s="44">
        <f t="shared" si="11"/>
        <v>1450</v>
      </c>
      <c r="O163" s="51">
        <v>5</v>
      </c>
      <c r="P163" s="51"/>
      <c r="Q163" s="79" t="s">
        <v>449</v>
      </c>
    </row>
    <row r="164" spans="2:17" x14ac:dyDescent="0.3">
      <c r="B164" s="50" t="s">
        <v>420</v>
      </c>
      <c r="C164" s="51" t="s">
        <v>165</v>
      </c>
      <c r="D164" s="40" t="str">
        <f t="shared" si="8"/>
        <v>Retailer Site</v>
      </c>
      <c r="E164" s="36" t="s">
        <v>450</v>
      </c>
      <c r="F164" s="51"/>
      <c r="G164" s="52">
        <v>899</v>
      </c>
      <c r="H164" s="51"/>
      <c r="I164" s="51">
        <v>31</v>
      </c>
      <c r="J164" s="40">
        <f t="shared" si="9"/>
        <v>30</v>
      </c>
      <c r="K164" s="51">
        <v>11.3</v>
      </c>
      <c r="L164" s="40">
        <f t="shared" si="10"/>
        <v>11</v>
      </c>
      <c r="M164" s="53">
        <f>28.5*19.4*2.75</f>
        <v>1520.4749999999999</v>
      </c>
      <c r="N164" s="44">
        <f t="shared" si="11"/>
        <v>1525</v>
      </c>
      <c r="O164" s="51">
        <v>4</v>
      </c>
      <c r="P164" s="51" t="s">
        <v>422</v>
      </c>
      <c r="Q164" s="79" t="s">
        <v>451</v>
      </c>
    </row>
    <row r="165" spans="2:17" x14ac:dyDescent="0.3">
      <c r="B165" s="50" t="s">
        <v>452</v>
      </c>
      <c r="C165" s="51" t="s">
        <v>165</v>
      </c>
      <c r="D165" s="40" t="str">
        <f t="shared" si="8"/>
        <v>Retailer Site</v>
      </c>
      <c r="E165" s="36" t="s">
        <v>453</v>
      </c>
      <c r="F165" s="51"/>
      <c r="G165" s="52">
        <v>999</v>
      </c>
      <c r="H165" s="51"/>
      <c r="I165" s="51">
        <v>31</v>
      </c>
      <c r="J165" s="40">
        <f t="shared" si="9"/>
        <v>30</v>
      </c>
      <c r="K165" s="51">
        <v>9.6</v>
      </c>
      <c r="L165" s="40">
        <f t="shared" si="10"/>
        <v>10</v>
      </c>
      <c r="M165" s="53">
        <f>28.5*19.4*2.75</f>
        <v>1520.4749999999999</v>
      </c>
      <c r="N165" s="44">
        <f t="shared" si="11"/>
        <v>1525</v>
      </c>
      <c r="O165" s="51">
        <v>5</v>
      </c>
      <c r="P165" s="51"/>
      <c r="Q165" s="79" t="s">
        <v>454</v>
      </c>
    </row>
    <row r="166" spans="2:17" x14ac:dyDescent="0.3">
      <c r="B166" s="50" t="s">
        <v>436</v>
      </c>
      <c r="C166" s="51" t="s">
        <v>165</v>
      </c>
      <c r="D166" s="40" t="str">
        <f t="shared" si="8"/>
        <v>Retailer Site</v>
      </c>
      <c r="E166" s="36" t="s">
        <v>455</v>
      </c>
      <c r="F166" s="51"/>
      <c r="G166" s="52">
        <v>698.39</v>
      </c>
      <c r="H166" s="51"/>
      <c r="I166" s="51">
        <v>40</v>
      </c>
      <c r="J166" s="40">
        <f t="shared" si="9"/>
        <v>40</v>
      </c>
      <c r="K166" s="51">
        <v>7.4</v>
      </c>
      <c r="L166" s="40">
        <f t="shared" si="10"/>
        <v>7</v>
      </c>
      <c r="M166" s="53">
        <f>28.59*19.44*2.16</f>
        <v>1200.5055360000001</v>
      </c>
      <c r="N166" s="44">
        <f t="shared" si="11"/>
        <v>1200</v>
      </c>
      <c r="O166" s="51">
        <v>4</v>
      </c>
      <c r="P166" s="51"/>
      <c r="Q166" s="79" t="s">
        <v>456</v>
      </c>
    </row>
    <row r="167" spans="2:17" x14ac:dyDescent="0.3">
      <c r="B167" s="50" t="s">
        <v>26</v>
      </c>
      <c r="C167" s="51" t="s">
        <v>165</v>
      </c>
      <c r="D167" s="40" t="str">
        <f t="shared" si="8"/>
        <v>Retailer Site</v>
      </c>
      <c r="E167" s="36" t="s">
        <v>388</v>
      </c>
      <c r="F167" s="51"/>
      <c r="G167" s="52">
        <v>2006.1</v>
      </c>
      <c r="H167" s="51"/>
      <c r="I167" s="51">
        <v>40</v>
      </c>
      <c r="J167" s="40">
        <f t="shared" si="9"/>
        <v>40</v>
      </c>
      <c r="K167" s="51">
        <v>10.5</v>
      </c>
      <c r="L167" s="40">
        <f t="shared" si="10"/>
        <v>11</v>
      </c>
      <c r="M167" s="53">
        <f>19.625*28.5*4.625</f>
        <v>2586.8203125</v>
      </c>
      <c r="N167" s="44">
        <f t="shared" si="11"/>
        <v>2575</v>
      </c>
      <c r="O167" s="51">
        <v>4</v>
      </c>
      <c r="P167" s="51" t="s">
        <v>157</v>
      </c>
      <c r="Q167" s="79" t="s">
        <v>457</v>
      </c>
    </row>
    <row r="168" spans="2:17" x14ac:dyDescent="0.3">
      <c r="B168" s="50" t="s">
        <v>452</v>
      </c>
      <c r="C168" s="51" t="s">
        <v>165</v>
      </c>
      <c r="D168" s="40" t="str">
        <f t="shared" si="8"/>
        <v>Retailer Site</v>
      </c>
      <c r="E168" s="36" t="s">
        <v>458</v>
      </c>
      <c r="F168" s="51"/>
      <c r="G168" s="52">
        <v>699</v>
      </c>
      <c r="H168" s="51"/>
      <c r="I168" s="51">
        <v>31</v>
      </c>
      <c r="J168" s="40">
        <f t="shared" si="9"/>
        <v>30</v>
      </c>
      <c r="K168" s="51">
        <v>8</v>
      </c>
      <c r="L168" s="40">
        <f t="shared" si="10"/>
        <v>8</v>
      </c>
      <c r="M168" s="53">
        <f>21.02*30*2.165</f>
        <v>1365.249</v>
      </c>
      <c r="N168" s="44">
        <f t="shared" si="11"/>
        <v>1375</v>
      </c>
      <c r="O168" s="51">
        <v>4</v>
      </c>
      <c r="P168" s="51"/>
      <c r="Q168" s="79" t="s">
        <v>459</v>
      </c>
    </row>
    <row r="169" spans="2:17" x14ac:dyDescent="0.3">
      <c r="B169" s="50" t="s">
        <v>420</v>
      </c>
      <c r="C169" s="51" t="s">
        <v>165</v>
      </c>
      <c r="D169" s="40" t="str">
        <f t="shared" si="8"/>
        <v>Retailer Site</v>
      </c>
      <c r="E169" s="36" t="s">
        <v>460</v>
      </c>
      <c r="F169" s="51"/>
      <c r="G169" s="52">
        <v>899</v>
      </c>
      <c r="H169" s="51"/>
      <c r="I169" s="51">
        <v>40</v>
      </c>
      <c r="J169" s="40">
        <f t="shared" si="9"/>
        <v>40</v>
      </c>
      <c r="K169" s="51">
        <v>12.5</v>
      </c>
      <c r="L169" s="40">
        <f t="shared" si="10"/>
        <v>13</v>
      </c>
      <c r="M169" s="53">
        <f>34.4*19.4*2.75</f>
        <v>1835.2399999999998</v>
      </c>
      <c r="N169" s="44">
        <f t="shared" si="11"/>
        <v>1825</v>
      </c>
      <c r="O169" s="51">
        <v>5</v>
      </c>
      <c r="P169" s="51" t="s">
        <v>422</v>
      </c>
      <c r="Q169" s="79" t="s">
        <v>461</v>
      </c>
    </row>
    <row r="170" spans="2:17" x14ac:dyDescent="0.3">
      <c r="B170" s="50" t="s">
        <v>45</v>
      </c>
      <c r="C170" s="51" t="s">
        <v>165</v>
      </c>
      <c r="D170" s="40" t="str">
        <f t="shared" si="8"/>
        <v>Retailer Site</v>
      </c>
      <c r="E170" s="36" t="s">
        <v>370</v>
      </c>
      <c r="F170" s="51"/>
      <c r="G170" s="52">
        <v>1709.1</v>
      </c>
      <c r="H170" s="51"/>
      <c r="I170" s="51">
        <v>40</v>
      </c>
      <c r="J170" s="40">
        <f t="shared" si="9"/>
        <v>40</v>
      </c>
      <c r="K170" s="51">
        <v>10.5</v>
      </c>
      <c r="L170" s="40">
        <f t="shared" si="10"/>
        <v>11</v>
      </c>
      <c r="M170" s="53">
        <f>29.5*19.31*3.13</f>
        <v>1782.98885</v>
      </c>
      <c r="N170" s="44">
        <f t="shared" si="11"/>
        <v>1775</v>
      </c>
      <c r="O170" s="51">
        <v>4</v>
      </c>
      <c r="P170" s="51" t="s">
        <v>157</v>
      </c>
      <c r="Q170" s="79" t="s">
        <v>462</v>
      </c>
    </row>
    <row r="171" spans="2:17" x14ac:dyDescent="0.3">
      <c r="B171" s="50" t="s">
        <v>463</v>
      </c>
      <c r="C171" s="51" t="s">
        <v>165</v>
      </c>
      <c r="D171" s="40" t="str">
        <f t="shared" si="8"/>
        <v>Retailer Site</v>
      </c>
      <c r="E171" s="36" t="s">
        <v>464</v>
      </c>
      <c r="F171" s="51"/>
      <c r="G171" s="52">
        <v>699</v>
      </c>
      <c r="H171" s="51"/>
      <c r="I171" s="51">
        <v>31</v>
      </c>
      <c r="J171" s="40">
        <f t="shared" si="9"/>
        <v>30</v>
      </c>
      <c r="K171" s="51">
        <v>9.1999999999999993</v>
      </c>
      <c r="L171" s="40">
        <f t="shared" si="10"/>
        <v>9</v>
      </c>
      <c r="M171" s="53">
        <f>22*19*2.75</f>
        <v>1149.5</v>
      </c>
      <c r="N171" s="44">
        <f t="shared" si="11"/>
        <v>1150</v>
      </c>
      <c r="O171" s="51">
        <v>4</v>
      </c>
      <c r="P171" s="51" t="s">
        <v>422</v>
      </c>
      <c r="Q171" s="79" t="s">
        <v>465</v>
      </c>
    </row>
    <row r="172" spans="2:17" x14ac:dyDescent="0.3">
      <c r="B172" s="50" t="s">
        <v>31</v>
      </c>
      <c r="C172" s="51" t="s">
        <v>165</v>
      </c>
      <c r="D172" s="40" t="str">
        <f t="shared" si="8"/>
        <v>Retailer Site</v>
      </c>
      <c r="E172" s="36" t="s">
        <v>466</v>
      </c>
      <c r="F172" s="51"/>
      <c r="G172" s="52">
        <v>911.79</v>
      </c>
      <c r="H172" s="51"/>
      <c r="I172" s="51">
        <v>35</v>
      </c>
      <c r="J172" s="40">
        <f t="shared" si="9"/>
        <v>35</v>
      </c>
      <c r="K172" s="51">
        <v>6.8</v>
      </c>
      <c r="L172" s="40">
        <f t="shared" si="10"/>
        <v>7</v>
      </c>
      <c r="M172" s="53">
        <f>29.38*20.38*2.5</f>
        <v>1496.9109999999998</v>
      </c>
      <c r="N172" s="44">
        <f t="shared" si="11"/>
        <v>1500</v>
      </c>
      <c r="O172" s="51">
        <v>4</v>
      </c>
      <c r="P172" s="51" t="s">
        <v>426</v>
      </c>
      <c r="Q172" s="79" t="s">
        <v>467</v>
      </c>
    </row>
    <row r="173" spans="2:17" x14ac:dyDescent="0.3">
      <c r="B173" s="50" t="s">
        <v>468</v>
      </c>
      <c r="C173" s="51" t="s">
        <v>469</v>
      </c>
      <c r="D173" s="40" t="str">
        <f t="shared" si="8"/>
        <v>Retailer Site</v>
      </c>
      <c r="E173" s="36" t="s">
        <v>315</v>
      </c>
      <c r="F173" s="51"/>
      <c r="G173" s="52">
        <v>1884.1</v>
      </c>
      <c r="H173" s="51"/>
      <c r="I173" s="51">
        <v>50</v>
      </c>
      <c r="J173" s="40">
        <f t="shared" si="9"/>
        <v>50</v>
      </c>
      <c r="K173" s="51">
        <v>14.8</v>
      </c>
      <c r="L173" s="40">
        <f t="shared" si="10"/>
        <v>15</v>
      </c>
      <c r="M173" s="53">
        <f>33.0625*21.3125*3.125</f>
        <v>2202.01416015625</v>
      </c>
      <c r="N173" s="44">
        <f t="shared" si="11"/>
        <v>2200</v>
      </c>
      <c r="O173" s="51">
        <v>5</v>
      </c>
      <c r="P173" s="51"/>
      <c r="Q173" s="79" t="s">
        <v>470</v>
      </c>
    </row>
    <row r="174" spans="2:17" x14ac:dyDescent="0.3">
      <c r="B174" s="50" t="s">
        <v>24</v>
      </c>
      <c r="C174" s="51" t="s">
        <v>469</v>
      </c>
      <c r="D174" s="40" t="str">
        <f t="shared" si="8"/>
        <v>Retailer Site</v>
      </c>
      <c r="E174" s="36" t="s">
        <v>341</v>
      </c>
      <c r="F174" s="51"/>
      <c r="G174" s="52">
        <v>804.1</v>
      </c>
      <c r="H174" s="51"/>
      <c r="I174" s="51">
        <v>45</v>
      </c>
      <c r="J174" s="40">
        <f t="shared" si="9"/>
        <v>45</v>
      </c>
      <c r="K174" s="51">
        <v>7.5</v>
      </c>
      <c r="L174" s="40">
        <f t="shared" si="10"/>
        <v>8</v>
      </c>
      <c r="M174" s="53">
        <f>33.63*19.13*4.5</f>
        <v>2895.0385500000002</v>
      </c>
      <c r="N174" s="44">
        <f t="shared" si="11"/>
        <v>2900</v>
      </c>
      <c r="O174" s="51">
        <v>4</v>
      </c>
      <c r="P174" s="51" t="s">
        <v>171</v>
      </c>
      <c r="Q174" s="79" t="s">
        <v>471</v>
      </c>
    </row>
    <row r="175" spans="2:17" x14ac:dyDescent="0.3">
      <c r="B175" s="50" t="s">
        <v>125</v>
      </c>
      <c r="C175" s="51" t="s">
        <v>469</v>
      </c>
      <c r="D175" s="40" t="str">
        <f t="shared" si="8"/>
        <v>Retailer Site</v>
      </c>
      <c r="E175" s="36" t="s">
        <v>319</v>
      </c>
      <c r="F175" s="51"/>
      <c r="G175" s="52">
        <v>1974.1</v>
      </c>
      <c r="H175" s="51"/>
      <c r="I175" s="51">
        <v>40</v>
      </c>
      <c r="J175" s="40">
        <f t="shared" si="9"/>
        <v>40</v>
      </c>
      <c r="K175" s="51">
        <v>15.8</v>
      </c>
      <c r="L175" s="40">
        <f t="shared" si="10"/>
        <v>16</v>
      </c>
      <c r="M175" s="53">
        <f>36.75*21.5*4.375</f>
        <v>3456.796875</v>
      </c>
      <c r="N175" s="44">
        <f t="shared" si="11"/>
        <v>3450</v>
      </c>
      <c r="O175" s="51">
        <v>5</v>
      </c>
      <c r="P175" s="51" t="s">
        <v>472</v>
      </c>
      <c r="Q175" s="79" t="s">
        <v>473</v>
      </c>
    </row>
    <row r="176" spans="2:17" x14ac:dyDescent="0.3">
      <c r="B176" s="50" t="s">
        <v>474</v>
      </c>
      <c r="C176" s="51" t="s">
        <v>469</v>
      </c>
      <c r="D176" s="40" t="str">
        <f t="shared" si="8"/>
        <v>Retailer Site</v>
      </c>
      <c r="E176" s="36" t="s">
        <v>475</v>
      </c>
      <c r="F176" s="51"/>
      <c r="G176" s="52">
        <v>1999</v>
      </c>
      <c r="H176" s="51"/>
      <c r="I176" s="51">
        <v>46.7</v>
      </c>
      <c r="J176" s="40">
        <f t="shared" si="9"/>
        <v>45</v>
      </c>
      <c r="K176" s="51">
        <v>14.9</v>
      </c>
      <c r="L176" s="40">
        <f t="shared" si="10"/>
        <v>15</v>
      </c>
      <c r="M176" s="53">
        <f>30*21*3.875</f>
        <v>2441.25</v>
      </c>
      <c r="N176" s="44">
        <f t="shared" si="11"/>
        <v>2450</v>
      </c>
      <c r="O176" s="51">
        <v>5</v>
      </c>
      <c r="P176" s="51" t="s">
        <v>472</v>
      </c>
      <c r="Q176" s="79" t="s">
        <v>476</v>
      </c>
    </row>
    <row r="177" spans="2:17" x14ac:dyDescent="0.3">
      <c r="B177" s="50" t="s">
        <v>24</v>
      </c>
      <c r="C177" s="51" t="s">
        <v>469</v>
      </c>
      <c r="D177" s="40" t="str">
        <f t="shared" si="8"/>
        <v>Retailer Site</v>
      </c>
      <c r="E177" s="36" t="s">
        <v>325</v>
      </c>
      <c r="F177" s="51"/>
      <c r="G177" s="52">
        <v>1974.1</v>
      </c>
      <c r="H177" s="51"/>
      <c r="I177" s="51">
        <v>45</v>
      </c>
      <c r="J177" s="40">
        <f t="shared" si="9"/>
        <v>45</v>
      </c>
      <c r="K177" s="51">
        <v>12.45</v>
      </c>
      <c r="L177" s="40">
        <f t="shared" si="10"/>
        <v>12</v>
      </c>
      <c r="M177" s="53">
        <f>36.75*21.5*4.375</f>
        <v>3456.796875</v>
      </c>
      <c r="N177" s="44">
        <f t="shared" si="11"/>
        <v>3450</v>
      </c>
      <c r="O177" s="51">
        <v>5</v>
      </c>
      <c r="P177" s="51" t="s">
        <v>160</v>
      </c>
      <c r="Q177" s="79" t="s">
        <v>477</v>
      </c>
    </row>
    <row r="178" spans="2:17" x14ac:dyDescent="0.3">
      <c r="B178" s="50" t="s">
        <v>474</v>
      </c>
      <c r="C178" s="51" t="s">
        <v>469</v>
      </c>
      <c r="D178" s="40" t="str">
        <f t="shared" si="8"/>
        <v>Retailer Site</v>
      </c>
      <c r="E178" s="36" t="s">
        <v>478</v>
      </c>
      <c r="F178" s="51"/>
      <c r="G178" s="52">
        <v>2349</v>
      </c>
      <c r="H178" s="51"/>
      <c r="I178" s="51">
        <v>46.7</v>
      </c>
      <c r="J178" s="40">
        <f t="shared" si="9"/>
        <v>45</v>
      </c>
      <c r="K178" s="51">
        <v>15.6</v>
      </c>
      <c r="L178" s="40">
        <f t="shared" si="10"/>
        <v>16</v>
      </c>
      <c r="M178" s="53">
        <f>36*21*3.875</f>
        <v>2929.5</v>
      </c>
      <c r="N178" s="44">
        <f t="shared" si="11"/>
        <v>2925</v>
      </c>
      <c r="O178" s="51">
        <v>5</v>
      </c>
      <c r="P178" s="51" t="s">
        <v>472</v>
      </c>
      <c r="Q178" s="79" t="s">
        <v>479</v>
      </c>
    </row>
    <row r="179" spans="2:17" x14ac:dyDescent="0.3">
      <c r="B179" s="50" t="s">
        <v>125</v>
      </c>
      <c r="C179" s="51" t="s">
        <v>469</v>
      </c>
      <c r="D179" s="40" t="str">
        <f t="shared" si="8"/>
        <v>Retailer Site</v>
      </c>
      <c r="E179" s="36" t="s">
        <v>329</v>
      </c>
      <c r="F179" s="51"/>
      <c r="G179" s="52">
        <v>2299.0700000000002</v>
      </c>
      <c r="H179" s="51"/>
      <c r="I179" s="51">
        <v>50</v>
      </c>
      <c r="J179" s="40">
        <f t="shared" si="9"/>
        <v>50</v>
      </c>
      <c r="K179" s="51">
        <v>15.5</v>
      </c>
      <c r="L179" s="40">
        <f t="shared" si="10"/>
        <v>16</v>
      </c>
      <c r="M179" s="53">
        <f>36.75*21.5*4.375</f>
        <v>3456.796875</v>
      </c>
      <c r="N179" s="44">
        <f t="shared" si="11"/>
        <v>3450</v>
      </c>
      <c r="O179" s="51">
        <v>5</v>
      </c>
      <c r="P179" s="51" t="s">
        <v>472</v>
      </c>
      <c r="Q179" s="79" t="s">
        <v>480</v>
      </c>
    </row>
    <row r="180" spans="2:17" x14ac:dyDescent="0.3">
      <c r="B180" s="50" t="s">
        <v>24</v>
      </c>
      <c r="C180" s="51" t="s">
        <v>469</v>
      </c>
      <c r="D180" s="40" t="str">
        <f t="shared" si="8"/>
        <v>Retailer Site</v>
      </c>
      <c r="E180" s="36" t="s">
        <v>331</v>
      </c>
      <c r="F180" s="51"/>
      <c r="G180" s="52">
        <v>984.1</v>
      </c>
      <c r="H180" s="51"/>
      <c r="I180" s="51">
        <v>45.2</v>
      </c>
      <c r="J180" s="40">
        <f t="shared" si="9"/>
        <v>45</v>
      </c>
      <c r="K180" s="51">
        <v>15.4</v>
      </c>
      <c r="L180" s="40">
        <f t="shared" si="10"/>
        <v>15</v>
      </c>
      <c r="M180" s="53">
        <f>36.75*21.375*2.875</f>
        <v>2258.40234375</v>
      </c>
      <c r="N180" s="44">
        <f t="shared" si="11"/>
        <v>2250</v>
      </c>
      <c r="O180" s="51">
        <v>5</v>
      </c>
      <c r="P180" s="51" t="s">
        <v>472</v>
      </c>
      <c r="Q180" s="79" t="s">
        <v>481</v>
      </c>
    </row>
    <row r="181" spans="2:17" x14ac:dyDescent="0.3">
      <c r="B181" s="50" t="s">
        <v>25</v>
      </c>
      <c r="C181" s="51" t="s">
        <v>469</v>
      </c>
      <c r="D181" s="40" t="str">
        <f t="shared" si="8"/>
        <v>Retailer Site</v>
      </c>
      <c r="E181" s="36" t="s">
        <v>397</v>
      </c>
      <c r="F181" s="51"/>
      <c r="G181" s="52">
        <v>1793.1</v>
      </c>
      <c r="H181" s="51"/>
      <c r="I181" s="51">
        <v>46.3</v>
      </c>
      <c r="J181" s="40">
        <f t="shared" si="9"/>
        <v>45</v>
      </c>
      <c r="K181" s="51">
        <v>14.7</v>
      </c>
      <c r="L181" s="40">
        <f t="shared" si="10"/>
        <v>15</v>
      </c>
      <c r="M181" s="53">
        <f>36*20.375*4.625</f>
        <v>3392.4375</v>
      </c>
      <c r="N181" s="44">
        <f t="shared" si="11"/>
        <v>3400</v>
      </c>
      <c r="O181" s="51">
        <v>5</v>
      </c>
      <c r="P181" s="51" t="s">
        <v>160</v>
      </c>
      <c r="Q181" s="79" t="s">
        <v>482</v>
      </c>
    </row>
    <row r="182" spans="2:17" x14ac:dyDescent="0.3">
      <c r="B182" s="50" t="s">
        <v>26</v>
      </c>
      <c r="C182" s="51" t="s">
        <v>469</v>
      </c>
      <c r="D182" s="40" t="str">
        <f t="shared" si="8"/>
        <v>Retailer Site</v>
      </c>
      <c r="E182" s="36" t="s">
        <v>386</v>
      </c>
      <c r="F182" s="51"/>
      <c r="G182" s="52">
        <v>2270.1</v>
      </c>
      <c r="H182" s="51"/>
      <c r="I182" s="51">
        <v>50</v>
      </c>
      <c r="J182" s="40">
        <f t="shared" si="9"/>
        <v>50</v>
      </c>
      <c r="K182" s="51">
        <v>13.7</v>
      </c>
      <c r="L182" s="40">
        <f t="shared" si="10"/>
        <v>14</v>
      </c>
      <c r="M182" s="53">
        <f>36*20.375*4.625</f>
        <v>3392.4375</v>
      </c>
      <c r="N182" s="44">
        <f t="shared" si="11"/>
        <v>3400</v>
      </c>
      <c r="O182" s="51">
        <v>5</v>
      </c>
      <c r="P182" s="51"/>
      <c r="Q182" s="79" t="s">
        <v>483</v>
      </c>
    </row>
    <row r="183" spans="2:17" x14ac:dyDescent="0.3">
      <c r="B183" s="50" t="s">
        <v>40</v>
      </c>
      <c r="C183" s="51" t="s">
        <v>469</v>
      </c>
      <c r="D183" s="40" t="str">
        <f t="shared" si="8"/>
        <v>Retailer Site</v>
      </c>
      <c r="E183" s="36" t="s">
        <v>335</v>
      </c>
      <c r="F183" s="51"/>
      <c r="G183" s="52">
        <v>1945</v>
      </c>
      <c r="H183" s="51" t="s">
        <v>384</v>
      </c>
      <c r="I183" s="51">
        <v>45</v>
      </c>
      <c r="J183" s="40">
        <f t="shared" si="9"/>
        <v>45</v>
      </c>
      <c r="K183" s="51">
        <v>15</v>
      </c>
      <c r="L183" s="40">
        <f t="shared" si="10"/>
        <v>15</v>
      </c>
      <c r="M183" s="53">
        <f>36*21.25*4</f>
        <v>3060</v>
      </c>
      <c r="N183" s="44">
        <f t="shared" si="11"/>
        <v>3050</v>
      </c>
      <c r="O183" s="51">
        <v>5</v>
      </c>
      <c r="P183" s="51"/>
      <c r="Q183" s="79" t="s">
        <v>484</v>
      </c>
    </row>
    <row r="184" spans="2:17" x14ac:dyDescent="0.3">
      <c r="B184" s="50" t="s">
        <v>149</v>
      </c>
      <c r="C184" s="51" t="s">
        <v>469</v>
      </c>
      <c r="D184" s="40" t="str">
        <f t="shared" si="8"/>
        <v>Retailer Site</v>
      </c>
      <c r="E184" s="36" t="s">
        <v>339</v>
      </c>
      <c r="F184" s="51"/>
      <c r="G184" s="52">
        <v>2099</v>
      </c>
      <c r="H184" s="51"/>
      <c r="I184" s="51">
        <v>48</v>
      </c>
      <c r="J184" s="40">
        <f t="shared" si="9"/>
        <v>50</v>
      </c>
      <c r="K184" s="51">
        <v>11</v>
      </c>
      <c r="L184" s="40">
        <f t="shared" si="10"/>
        <v>11</v>
      </c>
      <c r="M184" s="53">
        <f>31.875*20.4688*2.4375</f>
        <v>1590.3298125000003</v>
      </c>
      <c r="N184" s="44">
        <f t="shared" si="11"/>
        <v>1600</v>
      </c>
      <c r="O184" s="51">
        <v>5</v>
      </c>
      <c r="P184" s="51" t="s">
        <v>472</v>
      </c>
      <c r="Q184" s="79" t="s">
        <v>485</v>
      </c>
    </row>
    <row r="185" spans="2:17" x14ac:dyDescent="0.3">
      <c r="B185" s="50" t="s">
        <v>420</v>
      </c>
      <c r="C185" s="51" t="s">
        <v>469</v>
      </c>
      <c r="D185" s="40" t="str">
        <f t="shared" ref="D185:D202" si="12">IF($B185=$C185,"Mfg Site","Retailer Site")</f>
        <v>Retailer Site</v>
      </c>
      <c r="E185" s="36" t="s">
        <v>421</v>
      </c>
      <c r="F185" s="51"/>
      <c r="G185" s="52">
        <v>999</v>
      </c>
      <c r="H185" s="51"/>
      <c r="I185" s="51">
        <v>40</v>
      </c>
      <c r="J185" s="40">
        <f t="shared" ref="J185:J202" si="13">ROUND($I185/5,0)*5</f>
        <v>40</v>
      </c>
      <c r="K185" s="51">
        <v>13.9</v>
      </c>
      <c r="L185" s="40">
        <f t="shared" ref="L185:L202" si="14">ROUND($K185,0)</f>
        <v>14</v>
      </c>
      <c r="M185" s="53">
        <f>36*21*2.16</f>
        <v>1632.96</v>
      </c>
      <c r="N185" s="44">
        <f t="shared" ref="N185:N202" si="15">ROUND($M185/25,0)*25</f>
        <v>1625</v>
      </c>
      <c r="O185" s="51">
        <v>5</v>
      </c>
      <c r="P185" s="51"/>
      <c r="Q185" s="79" t="s">
        <v>486</v>
      </c>
    </row>
    <row r="186" spans="2:17" x14ac:dyDescent="0.3">
      <c r="B186" s="50" t="s">
        <v>420</v>
      </c>
      <c r="C186" s="51" t="s">
        <v>469</v>
      </c>
      <c r="D186" s="40" t="str">
        <f t="shared" si="12"/>
        <v>Retailer Site</v>
      </c>
      <c r="E186" s="36" t="s">
        <v>460</v>
      </c>
      <c r="F186" s="51"/>
      <c r="G186" s="52">
        <v>899</v>
      </c>
      <c r="H186" s="51"/>
      <c r="I186" s="51">
        <v>40</v>
      </c>
      <c r="J186" s="40">
        <f t="shared" si="13"/>
        <v>40</v>
      </c>
      <c r="K186" s="51">
        <v>12.5</v>
      </c>
      <c r="L186" s="40">
        <f t="shared" si="14"/>
        <v>13</v>
      </c>
      <c r="M186" s="53">
        <f>36*21*2.16</f>
        <v>1632.96</v>
      </c>
      <c r="N186" s="44">
        <f t="shared" si="15"/>
        <v>1625</v>
      </c>
      <c r="O186" s="51">
        <v>5</v>
      </c>
      <c r="P186" s="51"/>
      <c r="Q186" s="79" t="s">
        <v>487</v>
      </c>
    </row>
    <row r="187" spans="2:17" x14ac:dyDescent="0.3">
      <c r="B187" s="50" t="s">
        <v>24</v>
      </c>
      <c r="C187" s="51" t="s">
        <v>24</v>
      </c>
      <c r="D187" s="40" t="str">
        <f t="shared" si="12"/>
        <v>Mfg Site</v>
      </c>
      <c r="E187" s="36" t="s">
        <v>325</v>
      </c>
      <c r="F187" s="51"/>
      <c r="G187" s="52">
        <v>2499</v>
      </c>
      <c r="H187" s="51"/>
      <c r="I187" s="51">
        <v>50</v>
      </c>
      <c r="J187" s="40">
        <f t="shared" si="13"/>
        <v>50</v>
      </c>
      <c r="K187" s="51">
        <v>10.4</v>
      </c>
      <c r="L187" s="40">
        <f t="shared" si="14"/>
        <v>10</v>
      </c>
      <c r="M187" s="53">
        <f>36*20.125*2.875</f>
        <v>2082.9375</v>
      </c>
      <c r="N187" s="44">
        <f t="shared" si="15"/>
        <v>2075</v>
      </c>
      <c r="O187" s="51">
        <v>4</v>
      </c>
      <c r="P187" s="51" t="s">
        <v>417</v>
      </c>
      <c r="Q187" s="79" t="s">
        <v>488</v>
      </c>
    </row>
    <row r="188" spans="2:17" x14ac:dyDescent="0.3">
      <c r="B188" s="50" t="s">
        <v>24</v>
      </c>
      <c r="C188" s="51" t="s">
        <v>24</v>
      </c>
      <c r="D188" s="40" t="str">
        <f t="shared" si="12"/>
        <v>Mfg Site</v>
      </c>
      <c r="E188" s="36" t="s">
        <v>364</v>
      </c>
      <c r="F188" s="51"/>
      <c r="G188" s="52">
        <v>2249</v>
      </c>
      <c r="H188" s="51"/>
      <c r="I188" s="51">
        <v>40</v>
      </c>
      <c r="J188" s="40">
        <f t="shared" si="13"/>
        <v>40</v>
      </c>
      <c r="K188" s="51">
        <v>11</v>
      </c>
      <c r="L188" s="40">
        <f t="shared" si="14"/>
        <v>11</v>
      </c>
      <c r="M188" s="53">
        <f>30*20.625*2.875</f>
        <v>1778.90625</v>
      </c>
      <c r="N188" s="44">
        <f t="shared" si="15"/>
        <v>1775</v>
      </c>
      <c r="O188" s="51">
        <v>4</v>
      </c>
      <c r="P188" s="51" t="s">
        <v>417</v>
      </c>
      <c r="Q188" s="79" t="s">
        <v>489</v>
      </c>
    </row>
    <row r="189" spans="2:17" x14ac:dyDescent="0.3">
      <c r="B189" s="50" t="s">
        <v>24</v>
      </c>
      <c r="C189" s="51" t="s">
        <v>24</v>
      </c>
      <c r="D189" s="40" t="str">
        <f t="shared" si="12"/>
        <v>Mfg Site</v>
      </c>
      <c r="E189" s="37" t="s">
        <v>331</v>
      </c>
      <c r="F189" s="51"/>
      <c r="G189" s="52">
        <v>1249</v>
      </c>
      <c r="H189" s="51"/>
      <c r="I189" s="51">
        <v>45</v>
      </c>
      <c r="J189" s="40">
        <f t="shared" si="13"/>
        <v>45</v>
      </c>
      <c r="K189" s="51">
        <v>15.4</v>
      </c>
      <c r="L189" s="40">
        <f t="shared" si="14"/>
        <v>15</v>
      </c>
      <c r="M189" s="53">
        <f>33.875*19.125*3.625</f>
        <v>2348.490234375</v>
      </c>
      <c r="N189" s="44">
        <f t="shared" si="15"/>
        <v>2350</v>
      </c>
      <c r="O189" s="51">
        <v>5</v>
      </c>
      <c r="P189" s="51" t="s">
        <v>417</v>
      </c>
      <c r="Q189" s="79" t="s">
        <v>490</v>
      </c>
    </row>
    <row r="190" spans="2:17" x14ac:dyDescent="0.3">
      <c r="B190" s="50" t="s">
        <v>24</v>
      </c>
      <c r="C190" s="51" t="s">
        <v>24</v>
      </c>
      <c r="D190" s="40" t="str">
        <f t="shared" si="12"/>
        <v>Mfg Site</v>
      </c>
      <c r="E190" s="36" t="s">
        <v>341</v>
      </c>
      <c r="F190" s="51"/>
      <c r="G190" s="52">
        <v>1049</v>
      </c>
      <c r="H190" s="51"/>
      <c r="I190" s="51">
        <v>45</v>
      </c>
      <c r="J190" s="40">
        <f t="shared" si="13"/>
        <v>45</v>
      </c>
      <c r="K190" s="51">
        <v>14.2</v>
      </c>
      <c r="L190" s="40">
        <f t="shared" si="14"/>
        <v>14</v>
      </c>
      <c r="M190" s="53">
        <f>33.875*19.125*3.625</f>
        <v>2348.490234375</v>
      </c>
      <c r="N190" s="44">
        <f t="shared" si="15"/>
        <v>2350</v>
      </c>
      <c r="O190" s="51">
        <v>5</v>
      </c>
      <c r="P190" s="51" t="s">
        <v>417</v>
      </c>
      <c r="Q190" s="79" t="s">
        <v>491</v>
      </c>
    </row>
    <row r="191" spans="2:17" x14ac:dyDescent="0.3">
      <c r="B191" s="50" t="s">
        <v>24</v>
      </c>
      <c r="C191" s="51" t="s">
        <v>24</v>
      </c>
      <c r="D191" s="40" t="str">
        <f t="shared" si="12"/>
        <v>Mfg Site</v>
      </c>
      <c r="E191" s="36" t="s">
        <v>356</v>
      </c>
      <c r="F191" s="51"/>
      <c r="G191" s="52">
        <v>949</v>
      </c>
      <c r="H191" s="51"/>
      <c r="I191" s="51">
        <v>30</v>
      </c>
      <c r="J191" s="40">
        <f t="shared" si="13"/>
        <v>30</v>
      </c>
      <c r="K191" s="51">
        <v>10.4</v>
      </c>
      <c r="L191" s="40">
        <f t="shared" si="14"/>
        <v>10</v>
      </c>
      <c r="M191" s="53">
        <f>29.875*20.5*3.625</f>
        <v>2220.0859375</v>
      </c>
      <c r="N191" s="44">
        <f t="shared" si="15"/>
        <v>2225</v>
      </c>
      <c r="O191" s="51">
        <v>4</v>
      </c>
      <c r="P191" s="51" t="s">
        <v>417</v>
      </c>
      <c r="Q191" s="79" t="s">
        <v>492</v>
      </c>
    </row>
    <row r="192" spans="2:17" x14ac:dyDescent="0.3">
      <c r="B192" s="50" t="s">
        <v>147</v>
      </c>
      <c r="C192" s="51" t="s">
        <v>146</v>
      </c>
      <c r="D192" s="40" t="str">
        <f t="shared" si="12"/>
        <v>Retailer Site</v>
      </c>
      <c r="E192" s="54" t="s">
        <v>493</v>
      </c>
      <c r="F192" s="51"/>
      <c r="G192" s="52">
        <v>1999</v>
      </c>
      <c r="H192" s="51"/>
      <c r="I192" s="51">
        <v>45</v>
      </c>
      <c r="J192" s="40">
        <f t="shared" si="13"/>
        <v>45</v>
      </c>
      <c r="K192" s="51">
        <v>10.8</v>
      </c>
      <c r="L192" s="40">
        <f t="shared" si="14"/>
        <v>11</v>
      </c>
      <c r="M192" s="53">
        <f>36.1875*21.1875*4</f>
        <v>3066.890625</v>
      </c>
      <c r="N192" s="44">
        <f t="shared" si="15"/>
        <v>3075</v>
      </c>
      <c r="O192" s="51">
        <v>5</v>
      </c>
      <c r="P192" s="51"/>
      <c r="Q192" s="79" t="s">
        <v>494</v>
      </c>
    </row>
    <row r="193" spans="2:17" x14ac:dyDescent="0.3">
      <c r="B193" s="48" t="s">
        <v>125</v>
      </c>
      <c r="C193" s="51" t="s">
        <v>146</v>
      </c>
      <c r="D193" s="40" t="str">
        <f t="shared" si="12"/>
        <v>Retailer Site</v>
      </c>
      <c r="E193" s="54" t="s">
        <v>329</v>
      </c>
      <c r="F193" s="41"/>
      <c r="G193" s="42">
        <v>2299</v>
      </c>
      <c r="H193" s="41"/>
      <c r="I193" s="41">
        <v>50</v>
      </c>
      <c r="J193" s="40">
        <f t="shared" si="13"/>
        <v>50</v>
      </c>
      <c r="K193" s="41">
        <v>15.8</v>
      </c>
      <c r="L193" s="40">
        <f t="shared" si="14"/>
        <v>16</v>
      </c>
      <c r="M193" s="49">
        <f>35.875*20.375*4.375</f>
        <v>3197.919921875</v>
      </c>
      <c r="N193" s="44">
        <f t="shared" si="15"/>
        <v>3200</v>
      </c>
      <c r="O193" s="41">
        <v>5</v>
      </c>
      <c r="P193" s="41"/>
      <c r="Q193" s="79" t="s">
        <v>495</v>
      </c>
    </row>
    <row r="194" spans="2:17" x14ac:dyDescent="0.3">
      <c r="B194" s="48" t="s">
        <v>149</v>
      </c>
      <c r="C194" s="51" t="s">
        <v>146</v>
      </c>
      <c r="D194" s="40" t="str">
        <f t="shared" si="12"/>
        <v>Retailer Site</v>
      </c>
      <c r="E194" s="54" t="s">
        <v>339</v>
      </c>
      <c r="F194" s="41"/>
      <c r="G194" s="42">
        <v>2099</v>
      </c>
      <c r="H194" s="41"/>
      <c r="I194" s="41">
        <v>48</v>
      </c>
      <c r="J194" s="40">
        <f t="shared" si="13"/>
        <v>50</v>
      </c>
      <c r="K194" s="41">
        <v>20.3</v>
      </c>
      <c r="L194" s="40">
        <f t="shared" si="14"/>
        <v>20</v>
      </c>
      <c r="M194" s="49">
        <f>34.625*20.46875*2.4375</f>
        <v>1727.530517578125</v>
      </c>
      <c r="N194" s="44">
        <f t="shared" si="15"/>
        <v>1725</v>
      </c>
      <c r="O194" s="41">
        <v>5</v>
      </c>
      <c r="P194" s="41"/>
      <c r="Q194" s="79" t="s">
        <v>496</v>
      </c>
    </row>
    <row r="195" spans="2:17" x14ac:dyDescent="0.3">
      <c r="B195" s="48" t="s">
        <v>40</v>
      </c>
      <c r="C195" s="51" t="s">
        <v>146</v>
      </c>
      <c r="D195" s="40" t="str">
        <f t="shared" si="12"/>
        <v>Retailer Site</v>
      </c>
      <c r="E195" s="54" t="s">
        <v>317</v>
      </c>
      <c r="F195" s="41"/>
      <c r="G195" s="42">
        <v>1994.9</v>
      </c>
      <c r="H195" s="41"/>
      <c r="I195" s="41">
        <v>50</v>
      </c>
      <c r="J195" s="40">
        <f t="shared" si="13"/>
        <v>50</v>
      </c>
      <c r="K195" s="41">
        <v>10.8</v>
      </c>
      <c r="L195" s="40">
        <f t="shared" si="14"/>
        <v>11</v>
      </c>
      <c r="M195" s="49">
        <f>36*21.25*4</f>
        <v>3060</v>
      </c>
      <c r="N195" s="44">
        <f t="shared" si="15"/>
        <v>3050</v>
      </c>
      <c r="O195" s="41">
        <v>5</v>
      </c>
      <c r="P195" s="41"/>
      <c r="Q195" s="79" t="s">
        <v>497</v>
      </c>
    </row>
    <row r="196" spans="2:17" x14ac:dyDescent="0.3">
      <c r="B196" s="48" t="s">
        <v>498</v>
      </c>
      <c r="C196" s="51" t="s">
        <v>146</v>
      </c>
      <c r="D196" s="40" t="str">
        <f t="shared" si="12"/>
        <v>Retailer Site</v>
      </c>
      <c r="E196" s="54" t="s">
        <v>499</v>
      </c>
      <c r="F196" s="41"/>
      <c r="G196" s="42">
        <v>2049</v>
      </c>
      <c r="H196" s="41"/>
      <c r="I196" s="41">
        <v>50</v>
      </c>
      <c r="J196" s="40">
        <f t="shared" si="13"/>
        <v>50</v>
      </c>
      <c r="K196" s="41">
        <v>15.4</v>
      </c>
      <c r="L196" s="40">
        <f t="shared" si="14"/>
        <v>15</v>
      </c>
      <c r="M196" s="49">
        <f>36.22*21.29*3.175</f>
        <v>2448.3180649999999</v>
      </c>
      <c r="N196" s="44">
        <f t="shared" si="15"/>
        <v>2450</v>
      </c>
      <c r="O196" s="41">
        <v>5</v>
      </c>
      <c r="P196" s="41"/>
      <c r="Q196" s="79" t="s">
        <v>500</v>
      </c>
    </row>
    <row r="197" spans="2:17" x14ac:dyDescent="0.3">
      <c r="B197" s="48" t="s">
        <v>40</v>
      </c>
      <c r="C197" s="51" t="s">
        <v>146</v>
      </c>
      <c r="D197" s="40" t="str">
        <f t="shared" si="12"/>
        <v>Retailer Site</v>
      </c>
      <c r="E197" s="54" t="s">
        <v>352</v>
      </c>
      <c r="F197" s="41"/>
      <c r="G197" s="42">
        <v>1744.7</v>
      </c>
      <c r="H197" s="41"/>
      <c r="I197" s="41">
        <v>50</v>
      </c>
      <c r="J197" s="40">
        <f t="shared" si="13"/>
        <v>50</v>
      </c>
      <c r="K197" s="41">
        <v>11.8</v>
      </c>
      <c r="L197" s="40">
        <f t="shared" si="14"/>
        <v>12</v>
      </c>
      <c r="M197" s="49">
        <f>30*21.25*4</f>
        <v>2550</v>
      </c>
      <c r="N197" s="44">
        <f t="shared" si="15"/>
        <v>2550</v>
      </c>
      <c r="O197" s="41">
        <v>5</v>
      </c>
      <c r="P197" s="41"/>
      <c r="Q197" s="79" t="s">
        <v>501</v>
      </c>
    </row>
    <row r="198" spans="2:17" x14ac:dyDescent="0.3">
      <c r="B198" s="48" t="s">
        <v>474</v>
      </c>
      <c r="C198" s="51" t="s">
        <v>146</v>
      </c>
      <c r="D198" s="40" t="str">
        <f t="shared" si="12"/>
        <v>Retailer Site</v>
      </c>
      <c r="E198" s="54" t="s">
        <v>475</v>
      </c>
      <c r="F198" s="41"/>
      <c r="G198" s="42">
        <v>1999</v>
      </c>
      <c r="H198" s="41"/>
      <c r="I198" s="41">
        <v>50</v>
      </c>
      <c r="J198" s="40">
        <f t="shared" si="13"/>
        <v>50</v>
      </c>
      <c r="K198" s="41">
        <v>14.9</v>
      </c>
      <c r="L198" s="40">
        <f t="shared" si="14"/>
        <v>15</v>
      </c>
      <c r="M198" s="49">
        <f>30*21*3.875</f>
        <v>2441.25</v>
      </c>
      <c r="N198" s="44">
        <f t="shared" si="15"/>
        <v>2450</v>
      </c>
      <c r="O198" s="41">
        <v>5</v>
      </c>
      <c r="P198" s="41"/>
      <c r="Q198" s="79" t="s">
        <v>502</v>
      </c>
    </row>
    <row r="199" spans="2:17" x14ac:dyDescent="0.3">
      <c r="B199" s="48" t="s">
        <v>125</v>
      </c>
      <c r="C199" s="51" t="s">
        <v>146</v>
      </c>
      <c r="D199" s="40" t="str">
        <f t="shared" si="12"/>
        <v>Retailer Site</v>
      </c>
      <c r="E199" s="54" t="s">
        <v>319</v>
      </c>
      <c r="F199" s="41"/>
      <c r="G199" s="42">
        <v>1973.1</v>
      </c>
      <c r="H199" s="41"/>
      <c r="I199" s="41">
        <v>50</v>
      </c>
      <c r="J199" s="40">
        <f t="shared" si="13"/>
        <v>50</v>
      </c>
      <c r="K199" s="41">
        <v>15.8</v>
      </c>
      <c r="L199" s="40">
        <f t="shared" si="14"/>
        <v>16</v>
      </c>
      <c r="M199" s="49">
        <f>36.75*21.5*4.375</f>
        <v>3456.796875</v>
      </c>
      <c r="N199" s="44">
        <f t="shared" si="15"/>
        <v>3450</v>
      </c>
      <c r="O199" s="41">
        <v>5</v>
      </c>
      <c r="P199" s="41" t="s">
        <v>160</v>
      </c>
      <c r="Q199" s="79" t="s">
        <v>503</v>
      </c>
    </row>
    <row r="200" spans="2:17" x14ac:dyDescent="0.3">
      <c r="B200" s="48" t="s">
        <v>26</v>
      </c>
      <c r="C200" s="51" t="s">
        <v>146</v>
      </c>
      <c r="D200" s="40" t="str">
        <f t="shared" si="12"/>
        <v>Retailer Site</v>
      </c>
      <c r="E200" s="54" t="s">
        <v>386</v>
      </c>
      <c r="F200" s="41"/>
      <c r="G200" s="42">
        <v>2270</v>
      </c>
      <c r="H200" s="41"/>
      <c r="I200" s="41">
        <v>50</v>
      </c>
      <c r="J200" s="40">
        <f t="shared" si="13"/>
        <v>50</v>
      </c>
      <c r="K200" s="41">
        <v>13.7</v>
      </c>
      <c r="L200" s="40">
        <f t="shared" si="14"/>
        <v>14</v>
      </c>
      <c r="M200" s="49">
        <f>36*20.375*4.625</f>
        <v>3392.4375</v>
      </c>
      <c r="N200" s="44">
        <f t="shared" si="15"/>
        <v>3400</v>
      </c>
      <c r="O200" s="41">
        <v>5</v>
      </c>
      <c r="P200" s="41" t="s">
        <v>160</v>
      </c>
      <c r="Q200" s="79" t="s">
        <v>504</v>
      </c>
    </row>
    <row r="201" spans="2:17" x14ac:dyDescent="0.3">
      <c r="B201" s="48" t="s">
        <v>25</v>
      </c>
      <c r="C201" s="51" t="s">
        <v>146</v>
      </c>
      <c r="D201" s="40" t="str">
        <f t="shared" si="12"/>
        <v>Retailer Site</v>
      </c>
      <c r="E201" s="54" t="s">
        <v>345</v>
      </c>
      <c r="F201" s="41"/>
      <c r="G201" s="42">
        <v>1703</v>
      </c>
      <c r="H201" s="41"/>
      <c r="I201" s="41">
        <v>50</v>
      </c>
      <c r="J201" s="40">
        <f t="shared" si="13"/>
        <v>50</v>
      </c>
      <c r="K201" s="41">
        <v>11.1</v>
      </c>
      <c r="L201" s="40">
        <f t="shared" si="14"/>
        <v>11</v>
      </c>
      <c r="M201" s="49">
        <f>36.125*20.375*3.125</f>
        <v>2300.146484375</v>
      </c>
      <c r="N201" s="44">
        <f t="shared" si="15"/>
        <v>2300</v>
      </c>
      <c r="O201" s="41">
        <v>5</v>
      </c>
      <c r="P201" s="41" t="s">
        <v>160</v>
      </c>
      <c r="Q201" s="79" t="s">
        <v>505</v>
      </c>
    </row>
    <row r="202" spans="2:17" ht="15" thickBot="1" x14ac:dyDescent="0.35">
      <c r="B202" s="55" t="s">
        <v>24</v>
      </c>
      <c r="C202" s="56" t="s">
        <v>146</v>
      </c>
      <c r="D202" s="57" t="str">
        <f t="shared" si="12"/>
        <v>Retailer Site</v>
      </c>
      <c r="E202" s="58" t="s">
        <v>331</v>
      </c>
      <c r="F202" s="59"/>
      <c r="G202" s="60">
        <v>983.1</v>
      </c>
      <c r="H202" s="59"/>
      <c r="I202" s="59">
        <v>40</v>
      </c>
      <c r="J202" s="57">
        <f t="shared" si="13"/>
        <v>40</v>
      </c>
      <c r="K202" s="59">
        <v>15.4</v>
      </c>
      <c r="L202" s="57">
        <f t="shared" si="14"/>
        <v>15</v>
      </c>
      <c r="M202" s="61">
        <f>36.75*21.5*4.375</f>
        <v>3456.796875</v>
      </c>
      <c r="N202" s="62">
        <f t="shared" si="15"/>
        <v>3450</v>
      </c>
      <c r="O202" s="59">
        <v>5</v>
      </c>
      <c r="P202" s="59" t="s">
        <v>160</v>
      </c>
      <c r="Q202" s="80" t="s">
        <v>506</v>
      </c>
    </row>
  </sheetData>
  <mergeCells count="2">
    <mergeCell ref="B8:C8"/>
    <mergeCell ref="B87:C87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E663B-8B46-4191-8B5F-D5721812387B}">
  <sheetPr>
    <tabColor theme="0" tint="-4.9989318521683403E-2"/>
  </sheetPr>
  <dimension ref="B1:H5"/>
  <sheetViews>
    <sheetView zoomScale="85" zoomScaleNormal="85" workbookViewId="0">
      <selection activeCell="D31" sqref="D31"/>
    </sheetView>
  </sheetViews>
  <sheetFormatPr defaultRowHeight="14.4" x14ac:dyDescent="0.3"/>
  <cols>
    <col min="2" max="2" width="64.33203125" bestFit="1" customWidth="1"/>
    <col min="3" max="4" width="11.88671875" bestFit="1" customWidth="1"/>
    <col min="5" max="5" width="10" bestFit="1" customWidth="1"/>
    <col min="6" max="6" width="18.33203125" customWidth="1"/>
    <col min="7" max="7" width="11.109375" bestFit="1" customWidth="1"/>
    <col min="8" max="8" width="46.33203125" bestFit="1" customWidth="1"/>
  </cols>
  <sheetData>
    <row r="1" spans="2:8" ht="15" thickBot="1" x14ac:dyDescent="0.35"/>
    <row r="2" spans="2:8" ht="15" thickBot="1" x14ac:dyDescent="0.35">
      <c r="B2" s="66" t="s">
        <v>5</v>
      </c>
    </row>
    <row r="3" spans="2:8" ht="28.8" x14ac:dyDescent="0.3">
      <c r="B3" s="63" t="s">
        <v>6</v>
      </c>
      <c r="C3" s="64" t="s">
        <v>7</v>
      </c>
      <c r="D3" s="64" t="s">
        <v>8</v>
      </c>
      <c r="E3" s="64" t="s">
        <v>9</v>
      </c>
      <c r="F3" s="64" t="s">
        <v>13</v>
      </c>
      <c r="G3" s="65" t="s">
        <v>10</v>
      </c>
      <c r="H3" s="65" t="s">
        <v>508</v>
      </c>
    </row>
    <row r="4" spans="2:8" ht="43.2" x14ac:dyDescent="0.3">
      <c r="B4" s="71" t="s">
        <v>11</v>
      </c>
      <c r="C4" s="72">
        <v>1.6</v>
      </c>
      <c r="D4" s="72">
        <v>4</v>
      </c>
      <c r="E4" s="72">
        <f>AVERAGE($C$4:$D$4)</f>
        <v>2.8</v>
      </c>
      <c r="F4" s="73">
        <v>67.55</v>
      </c>
      <c r="G4" s="74">
        <f>$F4*$E4</f>
        <v>189.14</v>
      </c>
      <c r="H4" s="87" t="s">
        <v>513</v>
      </c>
    </row>
    <row r="5" spans="2:8" ht="43.8" thickBot="1" x14ac:dyDescent="0.35">
      <c r="B5" s="75" t="s">
        <v>12</v>
      </c>
      <c r="C5" s="76">
        <v>1.333</v>
      </c>
      <c r="D5" s="76">
        <v>2.6669999999999998</v>
      </c>
      <c r="E5" s="76">
        <f>AVERAGE($C$5:$D$5)</f>
        <v>2</v>
      </c>
      <c r="F5" s="77">
        <v>67.55</v>
      </c>
      <c r="G5" s="78">
        <f>$F5*$E5</f>
        <v>135.1</v>
      </c>
      <c r="H5" s="88" t="s">
        <v>514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Range</vt:lpstr>
      <vt:lpstr>Cooktop</vt:lpstr>
      <vt:lpstr>Labor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2020-02-25T20:02:57Z</dcterms:modified>
</cp:coreProperties>
</file>